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S:\COMUN\A Portal Dades Obertes opendata\Google analytics\2024\"/>
    </mc:Choice>
  </mc:AlternateContent>
  <xr:revisionPtr revIDLastSave="0" documentId="13_ncr:1_{C44DA02E-687B-444B-B622-F50AAE0F545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4" sheetId="11" r:id="rId1"/>
    <sheet name="2023" sheetId="10" r:id="rId2"/>
    <sheet name="2022" sheetId="1" r:id="rId3"/>
    <sheet name="2021" sheetId="2" r:id="rId4"/>
    <sheet name="2020" sheetId="3" r:id="rId5"/>
    <sheet name="2024-2016" sheetId="4" r:id="rId6"/>
    <sheet name="Glossari" sheetId="5" r:id="rId7"/>
    <sheet name="Glosario" sheetId="6" r:id="rId8"/>
    <sheet name="Gràfiques_Gráficos" sheetId="7" r:id="rId9"/>
    <sheet name="Gràfiques_Gráficos2" sheetId="8" r:id="rId10"/>
    <sheet name="Hoja8" sheetId="9" state="hidden" r:id="rId11"/>
  </sheets>
  <definedNames>
    <definedName name="_xlnm.Print_Area" localSheetId="4">'2020'!$B$3:$P$63</definedName>
    <definedName name="_xlnm.Print_Area" localSheetId="3">'2021'!$B$3:$P$72</definedName>
    <definedName name="_xlnm.Print_Area" localSheetId="2">'2022'!$B$3:$P$72</definedName>
    <definedName name="_xlnm.Print_Area" localSheetId="5">'2024-2016'!$B$3:$M$62</definedName>
    <definedName name="_xlnm.Print_Area" localSheetId="7">Glosario!$A$2:$B$19</definedName>
    <definedName name="_xlnm.Print_Area" localSheetId="6">Glossari!$A$2:$B$19</definedName>
    <definedName name="_xlnm.Print_Titles" localSheetId="4">'2020'!$3:$5</definedName>
    <definedName name="_xlnm.Print_Titles" localSheetId="3">'2021'!$3:$5</definedName>
    <definedName name="_xlnm.Print_Titles" localSheetId="2">'2022'!$3:$5</definedName>
    <definedName name="_xlnm.Print_Titles" localSheetId="5">'2024-2016'!$3:$5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43" i="11" l="1"/>
  <c r="M41" i="4"/>
  <c r="M38" i="4"/>
  <c r="M22" i="4"/>
  <c r="M24" i="4"/>
  <c r="M26" i="4"/>
  <c r="M54" i="4"/>
  <c r="M51" i="4"/>
  <c r="M57" i="4"/>
  <c r="L18" i="4"/>
  <c r="P52" i="11"/>
  <c r="M29" i="4"/>
  <c r="M32" i="4"/>
  <c r="M35" i="4"/>
  <c r="L42" i="4"/>
  <c r="M14" i="4"/>
  <c r="M48" i="4"/>
  <c r="M45" i="4"/>
  <c r="M18" i="4"/>
  <c r="P23" i="10"/>
  <c r="L15" i="4"/>
  <c r="P21" i="11"/>
  <c r="L14" i="4"/>
  <c r="P35" i="10"/>
  <c r="P29" i="10"/>
  <c r="P27" i="10"/>
  <c r="K18" i="4"/>
  <c r="M42" i="4" l="1"/>
  <c r="M33" i="4"/>
  <c r="L17" i="4"/>
  <c r="L19" i="4"/>
  <c r="L20" i="4"/>
  <c r="L21" i="4"/>
  <c r="L22" i="4"/>
  <c r="L23" i="4"/>
  <c r="L24" i="4"/>
  <c r="L25" i="4"/>
  <c r="L26" i="4"/>
  <c r="K10" i="4"/>
  <c r="L58" i="4"/>
  <c r="L55" i="4"/>
  <c r="L52" i="4"/>
  <c r="L49" i="4"/>
  <c r="L46" i="4"/>
  <c r="L39" i="4"/>
  <c r="L36" i="4"/>
  <c r="L33" i="4"/>
  <c r="L30" i="4"/>
  <c r="O57" i="11"/>
  <c r="N57" i="11"/>
  <c r="M57" i="11"/>
  <c r="L57" i="11"/>
  <c r="K57" i="11"/>
  <c r="J57" i="11"/>
  <c r="I57" i="11"/>
  <c r="H57" i="11"/>
  <c r="G57" i="11"/>
  <c r="F57" i="11"/>
  <c r="E57" i="11"/>
  <c r="D57" i="11"/>
  <c r="P56" i="11"/>
  <c r="L73" i="4" s="1"/>
  <c r="M73" i="4" s="1"/>
  <c r="O55" i="11"/>
  <c r="N55" i="11"/>
  <c r="M55" i="11"/>
  <c r="L55" i="11"/>
  <c r="K55" i="11"/>
  <c r="J55" i="11"/>
  <c r="I55" i="11"/>
  <c r="H55" i="11"/>
  <c r="G55" i="11"/>
  <c r="F55" i="11"/>
  <c r="E55" i="11"/>
  <c r="D55" i="11"/>
  <c r="P54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L69" i="4"/>
  <c r="M69" i="4" s="1"/>
  <c r="O50" i="11"/>
  <c r="N50" i="11"/>
  <c r="M50" i="11"/>
  <c r="L50" i="11"/>
  <c r="K50" i="11"/>
  <c r="J50" i="11"/>
  <c r="I50" i="11"/>
  <c r="H50" i="11"/>
  <c r="G50" i="11"/>
  <c r="F50" i="11"/>
  <c r="E50" i="11"/>
  <c r="E44" i="11" s="1"/>
  <c r="D50" i="11"/>
  <c r="P49" i="11"/>
  <c r="L66" i="4" s="1"/>
  <c r="M66" i="4" s="1"/>
  <c r="O48" i="11"/>
  <c r="N48" i="11"/>
  <c r="M48" i="11"/>
  <c r="L48" i="11"/>
  <c r="K48" i="11"/>
  <c r="J48" i="11"/>
  <c r="I48" i="11"/>
  <c r="H48" i="11"/>
  <c r="G48" i="11"/>
  <c r="F48" i="11"/>
  <c r="E48" i="11"/>
  <c r="D48" i="11"/>
  <c r="P47" i="11"/>
  <c r="L64" i="4" s="1"/>
  <c r="M64" i="4" s="1"/>
  <c r="O46" i="11"/>
  <c r="N46" i="11"/>
  <c r="M46" i="11"/>
  <c r="L46" i="11"/>
  <c r="K46" i="11"/>
  <c r="J46" i="11"/>
  <c r="I46" i="11"/>
  <c r="H46" i="11"/>
  <c r="G46" i="11"/>
  <c r="F46" i="11"/>
  <c r="E46" i="11"/>
  <c r="D46" i="11"/>
  <c r="P45" i="11"/>
  <c r="L62" i="4" s="1"/>
  <c r="M62" i="4" s="1"/>
  <c r="O44" i="11"/>
  <c r="N44" i="11"/>
  <c r="M44" i="11"/>
  <c r="L44" i="11"/>
  <c r="K44" i="11"/>
  <c r="J44" i="11"/>
  <c r="I44" i="11"/>
  <c r="H44" i="11"/>
  <c r="G44" i="11"/>
  <c r="F44" i="11"/>
  <c r="D44" i="11"/>
  <c r="P22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M23" i="4"/>
  <c r="K19" i="4"/>
  <c r="K20" i="4"/>
  <c r="K22" i="4"/>
  <c r="K24" i="4"/>
  <c r="K25" i="4"/>
  <c r="K26" i="4"/>
  <c r="P33" i="10"/>
  <c r="P31" i="10"/>
  <c r="M33" i="10"/>
  <c r="M31" i="10"/>
  <c r="M29" i="10"/>
  <c r="M27" i="10"/>
  <c r="P49" i="10"/>
  <c r="P18" i="8"/>
  <c r="P13" i="8"/>
  <c r="P14" i="8"/>
  <c r="P17" i="8"/>
  <c r="P12" i="8"/>
  <c r="K58" i="4"/>
  <c r="K55" i="4"/>
  <c r="K52" i="4"/>
  <c r="K49" i="4"/>
  <c r="K46" i="4"/>
  <c r="K42" i="4"/>
  <c r="K39" i="4"/>
  <c r="K36" i="4"/>
  <c r="K33" i="4"/>
  <c r="K30" i="4"/>
  <c r="E57" i="10"/>
  <c r="F57" i="10"/>
  <c r="G57" i="10"/>
  <c r="H57" i="10"/>
  <c r="I57" i="10"/>
  <c r="J57" i="10"/>
  <c r="K57" i="10"/>
  <c r="L57" i="10"/>
  <c r="M57" i="10"/>
  <c r="N57" i="10"/>
  <c r="O57" i="10"/>
  <c r="D57" i="10"/>
  <c r="E55" i="10"/>
  <c r="F55" i="10"/>
  <c r="G55" i="10"/>
  <c r="H55" i="10"/>
  <c r="I55" i="10"/>
  <c r="J55" i="10"/>
  <c r="K55" i="10"/>
  <c r="L55" i="10"/>
  <c r="M55" i="10"/>
  <c r="N55" i="10"/>
  <c r="O55" i="10"/>
  <c r="D55" i="10"/>
  <c r="E53" i="10"/>
  <c r="F53" i="10"/>
  <c r="G53" i="10"/>
  <c r="H53" i="10"/>
  <c r="I53" i="10"/>
  <c r="J53" i="10"/>
  <c r="K53" i="10"/>
  <c r="L53" i="10"/>
  <c r="M53" i="10"/>
  <c r="N53" i="10"/>
  <c r="O53" i="10"/>
  <c r="D53" i="10"/>
  <c r="K60" i="4"/>
  <c r="E50" i="10"/>
  <c r="F50" i="10"/>
  <c r="G50" i="10"/>
  <c r="H50" i="10"/>
  <c r="I50" i="10"/>
  <c r="J50" i="10"/>
  <c r="K50" i="10"/>
  <c r="L50" i="10"/>
  <c r="M50" i="10"/>
  <c r="N50" i="10"/>
  <c r="O50" i="10"/>
  <c r="E48" i="10"/>
  <c r="F48" i="10"/>
  <c r="G48" i="10"/>
  <c r="H48" i="10"/>
  <c r="I48" i="10"/>
  <c r="J48" i="10"/>
  <c r="K48" i="10"/>
  <c r="L48" i="10"/>
  <c r="M48" i="10"/>
  <c r="N48" i="10"/>
  <c r="O48" i="10"/>
  <c r="D50" i="10"/>
  <c r="D48" i="10"/>
  <c r="E46" i="10"/>
  <c r="F46" i="10"/>
  <c r="G46" i="10"/>
  <c r="H46" i="10"/>
  <c r="I46" i="10"/>
  <c r="J46" i="10"/>
  <c r="K46" i="10"/>
  <c r="L46" i="10"/>
  <c r="M46" i="10"/>
  <c r="N46" i="10"/>
  <c r="O46" i="10"/>
  <c r="D46" i="10"/>
  <c r="F44" i="10"/>
  <c r="G44" i="10"/>
  <c r="H44" i="10"/>
  <c r="I44" i="10"/>
  <c r="J44" i="10"/>
  <c r="K44" i="10"/>
  <c r="L44" i="10"/>
  <c r="M44" i="10"/>
  <c r="N44" i="10"/>
  <c r="O44" i="10"/>
  <c r="D44" i="10"/>
  <c r="D31" i="10"/>
  <c r="D33" i="10"/>
  <c r="E33" i="10"/>
  <c r="E27" i="10"/>
  <c r="E29" i="10"/>
  <c r="F29" i="10"/>
  <c r="F27" i="10"/>
  <c r="G33" i="10"/>
  <c r="H31" i="10"/>
  <c r="H33" i="10"/>
  <c r="I31" i="10"/>
  <c r="I33" i="10"/>
  <c r="J29" i="10"/>
  <c r="P21" i="10"/>
  <c r="K14" i="4"/>
  <c r="M17" i="8"/>
  <c r="M18" i="8"/>
  <c r="M14" i="8"/>
  <c r="M13" i="8"/>
  <c r="M12" i="8"/>
  <c r="K62" i="8"/>
  <c r="J71" i="4"/>
  <c r="J69" i="4"/>
  <c r="J61" i="4"/>
  <c r="J62" i="4"/>
  <c r="J63" i="4"/>
  <c r="J64" i="4"/>
  <c r="J65" i="4"/>
  <c r="J66" i="4"/>
  <c r="J67" i="4"/>
  <c r="J60" i="4"/>
  <c r="P35" i="2"/>
  <c r="P33" i="2"/>
  <c r="P31" i="2"/>
  <c r="P29" i="2"/>
  <c r="P27" i="2"/>
  <c r="P35" i="1"/>
  <c r="P33" i="1"/>
  <c r="P29" i="1"/>
  <c r="P27" i="1"/>
  <c r="N57" i="1"/>
  <c r="O57" i="1"/>
  <c r="N55" i="1"/>
  <c r="O55" i="1"/>
  <c r="N53" i="1"/>
  <c r="O53" i="1"/>
  <c r="N50" i="1"/>
  <c r="N48" i="1"/>
  <c r="N46" i="1"/>
  <c r="N44" i="1"/>
  <c r="O48" i="1"/>
  <c r="O50" i="1"/>
  <c r="O46" i="1"/>
  <c r="O44" i="1"/>
  <c r="J62" i="8"/>
  <c r="J64" i="8"/>
  <c r="H64" i="8"/>
  <c r="I64" i="8"/>
  <c r="G64" i="8"/>
  <c r="F64" i="8"/>
  <c r="J19" i="4"/>
  <c r="J21" i="4"/>
  <c r="J23" i="4"/>
  <c r="J25" i="4"/>
  <c r="J26" i="4"/>
  <c r="J24" i="4"/>
  <c r="P31" i="1"/>
  <c r="J22" i="4" s="1"/>
  <c r="J20" i="4"/>
  <c r="P26" i="1"/>
  <c r="P52" i="10"/>
  <c r="K69" i="4" s="1"/>
  <c r="P54" i="10"/>
  <c r="K71" i="4" s="1"/>
  <c r="P56" i="10"/>
  <c r="K73" i="4" s="1"/>
  <c r="P24" i="10"/>
  <c r="K15" i="4" s="1"/>
  <c r="P22" i="10"/>
  <c r="P45" i="10"/>
  <c r="K62" i="4" s="1"/>
  <c r="P43" i="10"/>
  <c r="P20" i="10"/>
  <c r="P19" i="10"/>
  <c r="K13" i="4" s="1"/>
  <c r="P18" i="10"/>
  <c r="P17" i="10"/>
  <c r="P16" i="10"/>
  <c r="P15" i="10"/>
  <c r="P14" i="10"/>
  <c r="P13" i="10"/>
  <c r="P12" i="10"/>
  <c r="P11" i="10"/>
  <c r="P10" i="10"/>
  <c r="P9" i="10"/>
  <c r="P8" i="10"/>
  <c r="P7" i="10"/>
  <c r="J14" i="4"/>
  <c r="J15" i="4"/>
  <c r="J13" i="4"/>
  <c r="J12" i="4"/>
  <c r="P11" i="1"/>
  <c r="P12" i="1"/>
  <c r="P10" i="1"/>
  <c r="H62" i="4"/>
  <c r="H61" i="4"/>
  <c r="H60" i="4"/>
  <c r="H58" i="4"/>
  <c r="H55" i="4"/>
  <c r="H52" i="4"/>
  <c r="H49" i="4"/>
  <c r="H46" i="4"/>
  <c r="H42" i="4"/>
  <c r="H39" i="4"/>
  <c r="H36" i="4"/>
  <c r="H33" i="4"/>
  <c r="H30" i="4"/>
  <c r="P47" i="3"/>
  <c r="P48" i="3" s="1"/>
  <c r="P45" i="3"/>
  <c r="P46" i="3" s="1"/>
  <c r="P44" i="3"/>
  <c r="P43" i="3"/>
  <c r="P40" i="3"/>
  <c r="P41" i="3" s="1"/>
  <c r="H67" i="4" s="1"/>
  <c r="P38" i="3"/>
  <c r="P39" i="3" s="1"/>
  <c r="H65" i="4" s="1"/>
  <c r="P36" i="3"/>
  <c r="P37" i="3" s="1"/>
  <c r="H63" i="4" s="1"/>
  <c r="P35" i="3"/>
  <c r="P34" i="3"/>
  <c r="P15" i="3"/>
  <c r="P14" i="3"/>
  <c r="P13" i="3"/>
  <c r="P12" i="3"/>
  <c r="P11" i="3"/>
  <c r="P10" i="3"/>
  <c r="P9" i="3"/>
  <c r="P8" i="3"/>
  <c r="P7" i="3"/>
  <c r="P56" i="2"/>
  <c r="P57" i="2" s="1"/>
  <c r="P54" i="2"/>
  <c r="P52" i="2"/>
  <c r="P55" i="2" s="1"/>
  <c r="P49" i="2"/>
  <c r="P50" i="2" s="1"/>
  <c r="P47" i="2"/>
  <c r="P48" i="2" s="1"/>
  <c r="P45" i="2"/>
  <c r="P43" i="2"/>
  <c r="P44" i="2" s="1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56" i="1"/>
  <c r="J73" i="4" s="1"/>
  <c r="P54" i="1"/>
  <c r="P52" i="1"/>
  <c r="P49" i="1"/>
  <c r="P47" i="1"/>
  <c r="P45" i="1"/>
  <c r="P43" i="1"/>
  <c r="P20" i="1"/>
  <c r="P19" i="1"/>
  <c r="P18" i="1"/>
  <c r="P17" i="1"/>
  <c r="P16" i="1"/>
  <c r="P15" i="1"/>
  <c r="P14" i="1"/>
  <c r="P13" i="1"/>
  <c r="P9" i="1"/>
  <c r="P8" i="1"/>
  <c r="P7" i="1"/>
  <c r="L10" i="4" l="1"/>
  <c r="M10" i="4" s="1"/>
  <c r="L7" i="4"/>
  <c r="M7" i="4" s="1"/>
  <c r="P44" i="11"/>
  <c r="L61" i="4" s="1"/>
  <c r="L60" i="4"/>
  <c r="M60" i="4" s="1"/>
  <c r="M67" i="4" s="1"/>
  <c r="L12" i="4"/>
  <c r="M12" i="4" s="1"/>
  <c r="P55" i="11"/>
  <c r="L72" i="4" s="1"/>
  <c r="P53" i="11"/>
  <c r="L70" i="4" s="1"/>
  <c r="L71" i="4"/>
  <c r="M71" i="4" s="1"/>
  <c r="L13" i="4"/>
  <c r="M13" i="4" s="1"/>
  <c r="L11" i="4"/>
  <c r="M11" i="4" s="1"/>
  <c r="L9" i="4"/>
  <c r="M9" i="4" s="1"/>
  <c r="M15" i="4"/>
  <c r="L8" i="4"/>
  <c r="M8" i="4" s="1"/>
  <c r="P46" i="11"/>
  <c r="L63" i="4" s="1"/>
  <c r="P50" i="11"/>
  <c r="L67" i="4" s="1"/>
  <c r="P48" i="11"/>
  <c r="L65" i="4" s="1"/>
  <c r="P57" i="11"/>
  <c r="L74" i="4" s="1"/>
  <c r="K9" i="4"/>
  <c r="K12" i="4"/>
  <c r="K11" i="4"/>
  <c r="K8" i="4"/>
  <c r="K7" i="4"/>
  <c r="P55" i="10"/>
  <c r="K72" i="4" s="1"/>
  <c r="J9" i="4"/>
  <c r="M36" i="4"/>
  <c r="P55" i="1"/>
  <c r="J72" i="4" s="1"/>
  <c r="J7" i="4"/>
  <c r="P44" i="1"/>
  <c r="P46" i="1"/>
  <c r="P57" i="1"/>
  <c r="J74" i="4" s="1"/>
  <c r="P50" i="1"/>
  <c r="P53" i="1"/>
  <c r="J70" i="4" s="1"/>
  <c r="J8" i="4"/>
  <c r="J11" i="4"/>
  <c r="J10" i="4"/>
  <c r="P53" i="10"/>
  <c r="K70" i="4" s="1"/>
  <c r="P57" i="10"/>
  <c r="K74" i="4" s="1"/>
  <c r="M55" i="4"/>
  <c r="M30" i="4"/>
  <c r="M46" i="4"/>
  <c r="M58" i="4"/>
  <c r="P48" i="1"/>
  <c r="P53" i="2"/>
  <c r="M39" i="4"/>
  <c r="M49" i="4"/>
  <c r="P46" i="2"/>
  <c r="H64" i="4"/>
  <c r="M52" i="4"/>
  <c r="M72" i="4" l="1"/>
  <c r="M74" i="4"/>
  <c r="M70" i="4"/>
  <c r="J18" i="4"/>
  <c r="M20" i="4" s="1"/>
  <c r="P47" i="10"/>
  <c r="K64" i="4" s="1"/>
  <c r="E44" i="10"/>
  <c r="K66" i="4"/>
  <c r="M63" i="4" l="1"/>
  <c r="M65" i="4"/>
  <c r="M61" i="4"/>
  <c r="P46" i="10"/>
  <c r="K63" i="4" s="1"/>
  <c r="P48" i="10"/>
  <c r="K65" i="4" s="1"/>
  <c r="P44" i="10"/>
  <c r="K61" i="4" s="1"/>
  <c r="P50" i="10"/>
  <c r="K67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0F58EB-A284-4DB2-95D4-90682780A1C6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<sst xmlns="http://schemas.openxmlformats.org/spreadsheetml/2006/main" count="1824" uniqueCount="610">
  <si>
    <t xml:space="preserve"> </t>
  </si>
  <si>
    <r>
      <rPr>
        <b/>
        <sz val="28"/>
        <color rgb="FFFFFFFF"/>
        <rFont val="Calibri"/>
        <family val="2"/>
      </rPr>
      <t xml:space="preserve">Mètriques Google Analytics 2022 del Portal de Dades Obertes de la Generalitat
</t>
    </r>
    <r>
      <rPr>
        <b/>
        <i/>
        <sz val="28"/>
        <color rgb="FFFFFFFF"/>
        <rFont val="Calibri"/>
        <family val="2"/>
      </rPr>
      <t>Métricas Google Analytics 2022 del Portal de Dades Obertes de la Generalitat</t>
    </r>
  </si>
  <si>
    <r>
      <rPr>
        <b/>
        <sz val="18"/>
        <color rgb="FF068B90"/>
        <rFont val="Calibri"/>
        <family val="2"/>
      </rPr>
      <t xml:space="preserve">Gener
</t>
    </r>
    <r>
      <rPr>
        <b/>
        <sz val="18"/>
        <color rgb="FF111111"/>
        <rFont val="Calibri"/>
        <family val="2"/>
      </rPr>
      <t>Enero</t>
    </r>
  </si>
  <si>
    <r>
      <rPr>
        <b/>
        <sz val="18"/>
        <color rgb="FF068B90"/>
        <rFont val="Calibri"/>
        <family val="2"/>
      </rPr>
      <t xml:space="preserve">Febrer
</t>
    </r>
    <r>
      <rPr>
        <b/>
        <sz val="18"/>
        <color rgb="FF111111"/>
        <rFont val="Calibri"/>
        <family val="2"/>
      </rPr>
      <t>Febrero</t>
    </r>
  </si>
  <si>
    <r>
      <rPr>
        <b/>
        <sz val="18"/>
        <color rgb="FF068B90"/>
        <rFont val="Calibri"/>
        <family val="2"/>
      </rPr>
      <t xml:space="preserve">Març
</t>
    </r>
    <r>
      <rPr>
        <b/>
        <sz val="18"/>
        <color rgb="FF111111"/>
        <rFont val="Calibri"/>
        <family val="2"/>
      </rPr>
      <t>Marzo</t>
    </r>
  </si>
  <si>
    <r>
      <rPr>
        <b/>
        <sz val="18"/>
        <color rgb="FF068B90"/>
        <rFont val="Calibri"/>
        <family val="2"/>
      </rPr>
      <t xml:space="preserve">Abril
</t>
    </r>
    <r>
      <rPr>
        <b/>
        <sz val="18"/>
        <color rgb="FF111111"/>
        <rFont val="Calibri"/>
        <family val="2"/>
      </rPr>
      <t>Abril</t>
    </r>
  </si>
  <si>
    <r>
      <rPr>
        <b/>
        <sz val="18"/>
        <color rgb="FF068B90"/>
        <rFont val="Calibri"/>
        <family val="2"/>
      </rPr>
      <t xml:space="preserve">Maig
</t>
    </r>
    <r>
      <rPr>
        <b/>
        <sz val="18"/>
        <color rgb="FF111111"/>
        <rFont val="Calibri"/>
        <family val="2"/>
      </rPr>
      <t>Mayo</t>
    </r>
  </si>
  <si>
    <r>
      <rPr>
        <b/>
        <sz val="18"/>
        <color rgb="FF068B90"/>
        <rFont val="Calibri"/>
        <family val="2"/>
      </rPr>
      <t xml:space="preserve">Juny
</t>
    </r>
    <r>
      <rPr>
        <b/>
        <sz val="18"/>
        <color rgb="FF111111"/>
        <rFont val="Calibri"/>
        <family val="2"/>
      </rPr>
      <t>Junio</t>
    </r>
  </si>
  <si>
    <r>
      <rPr>
        <b/>
        <sz val="18"/>
        <color rgb="FF068B90"/>
        <rFont val="Calibri"/>
        <family val="2"/>
      </rPr>
      <t xml:space="preserve">Juliol
</t>
    </r>
    <r>
      <rPr>
        <b/>
        <sz val="18"/>
        <color rgb="FF111111"/>
        <rFont val="Calibri"/>
        <family val="2"/>
      </rPr>
      <t>Julio</t>
    </r>
  </si>
  <si>
    <r>
      <rPr>
        <b/>
        <sz val="18"/>
        <color rgb="FF068B90"/>
        <rFont val="Calibri"/>
        <family val="2"/>
      </rPr>
      <t xml:space="preserve">Agost
</t>
    </r>
    <r>
      <rPr>
        <b/>
        <sz val="18"/>
        <color rgb="FF111111"/>
        <rFont val="Calibri"/>
        <family val="2"/>
      </rPr>
      <t>Agosto</t>
    </r>
  </si>
  <si>
    <r>
      <rPr>
        <b/>
        <sz val="18"/>
        <color rgb="FF068B90"/>
        <rFont val="Calibri"/>
        <family val="2"/>
      </rPr>
      <t xml:space="preserve">Setembre
</t>
    </r>
    <r>
      <rPr>
        <b/>
        <sz val="18"/>
        <color rgb="FF111111"/>
        <rFont val="Calibri"/>
        <family val="2"/>
      </rPr>
      <t>Septiembre</t>
    </r>
  </si>
  <si>
    <r>
      <rPr>
        <b/>
        <sz val="18"/>
        <color rgb="FF068B90"/>
        <rFont val="Calibri"/>
        <family val="2"/>
      </rPr>
      <t xml:space="preserve">Octubre
</t>
    </r>
    <r>
      <rPr>
        <b/>
        <sz val="18"/>
        <color rgb="FF111111"/>
        <rFont val="Calibri"/>
        <family val="2"/>
      </rPr>
      <t>Octubre</t>
    </r>
  </si>
  <si>
    <r>
      <rPr>
        <b/>
        <sz val="18"/>
        <color rgb="FF068B90"/>
        <rFont val="Calibri"/>
        <family val="2"/>
      </rPr>
      <t xml:space="preserve">Novembre
</t>
    </r>
    <r>
      <rPr>
        <b/>
        <sz val="18"/>
        <color rgb="FF111111"/>
        <rFont val="Calibri"/>
        <family val="2"/>
      </rPr>
      <t>Noviembre</t>
    </r>
  </si>
  <si>
    <r>
      <rPr>
        <b/>
        <sz val="18"/>
        <color rgb="FF068B90"/>
        <rFont val="Calibri"/>
        <family val="2"/>
      </rPr>
      <t xml:space="preserve">Desembre
</t>
    </r>
    <r>
      <rPr>
        <b/>
        <sz val="18"/>
        <color rgb="FF111111"/>
        <rFont val="Calibri"/>
        <family val="2"/>
      </rPr>
      <t>Diciembre</t>
    </r>
  </si>
  <si>
    <r>
      <rPr>
        <b/>
        <sz val="18"/>
        <color rgb="FF068B90"/>
        <rFont val="Calibri"/>
        <family val="2"/>
      </rPr>
      <t xml:space="preserve">Total
</t>
    </r>
    <r>
      <rPr>
        <b/>
        <sz val="18"/>
        <color rgb="FF111111"/>
        <rFont val="Calibri"/>
        <family val="2"/>
      </rPr>
      <t>Total</t>
    </r>
  </si>
  <si>
    <t>General **</t>
  </si>
  <si>
    <r>
      <rPr>
        <b/>
        <sz val="14"/>
        <rFont val="Calibri"/>
        <family val="2"/>
      </rPr>
      <t xml:space="preserve">Sessions catàleg dades obertes
</t>
    </r>
    <r>
      <rPr>
        <b/>
        <i/>
        <sz val="14"/>
        <color rgb="FF111111"/>
        <rFont val="Calibri"/>
        <family val="2"/>
      </rPr>
      <t>Sesiones catálogo datos abiertos</t>
    </r>
  </si>
  <si>
    <r>
      <rPr>
        <b/>
        <sz val="14"/>
        <rFont val="Calibri"/>
        <family val="2"/>
      </rPr>
      <t xml:space="preserve">Sessions portal  dades obertes
</t>
    </r>
    <r>
      <rPr>
        <b/>
        <i/>
        <sz val="14"/>
        <rFont val="Calibri"/>
        <family val="2"/>
      </rPr>
      <t>Sesiones portal datos abiertos</t>
    </r>
  </si>
  <si>
    <r>
      <rPr>
        <b/>
        <sz val="14"/>
        <rFont val="Calibri"/>
        <family val="2"/>
      </rPr>
      <t xml:space="preserve">Usuaris/es catàleg
</t>
    </r>
    <r>
      <rPr>
        <b/>
        <i/>
        <sz val="14"/>
        <rFont val="Calibri"/>
        <family val="2"/>
      </rPr>
      <t>Usuarios/as catálogo</t>
    </r>
  </si>
  <si>
    <r>
      <rPr>
        <b/>
        <sz val="14"/>
        <rFont val="Calibri"/>
        <family val="2"/>
      </rPr>
      <t xml:space="preserve">Usuaris/es portal
</t>
    </r>
    <r>
      <rPr>
        <b/>
        <i/>
        <sz val="14"/>
        <color rgb="FF111111"/>
        <rFont val="Calibri"/>
        <family val="2"/>
      </rPr>
      <t>Usuarios/as portal</t>
    </r>
  </si>
  <si>
    <r>
      <rPr>
        <b/>
        <sz val="14"/>
        <rFont val="Calibri"/>
        <family val="2"/>
      </rPr>
      <t xml:space="preserve">Nombre de visites a pàgines catàleg
</t>
    </r>
    <r>
      <rPr>
        <b/>
        <i/>
        <sz val="14"/>
        <rFont val="Calibri"/>
        <family val="2"/>
      </rPr>
      <t>Número de visitas a páginas catálogo</t>
    </r>
  </si>
  <si>
    <r>
      <rPr>
        <b/>
        <sz val="14"/>
        <rFont val="Calibri"/>
        <family val="2"/>
      </rPr>
      <t xml:space="preserve">Nombre de visites a pàgines portal
</t>
    </r>
    <r>
      <rPr>
        <b/>
        <i/>
        <sz val="14"/>
        <rFont val="Calibri"/>
        <family val="2"/>
      </rPr>
      <t>Número de visitas a páginas portal</t>
    </r>
  </si>
  <si>
    <r>
      <rPr>
        <b/>
        <sz val="14"/>
        <rFont val="Calibri"/>
        <family val="2"/>
      </rPr>
      <t xml:space="preserve">Pàgines vistes per sessió* catàleg
</t>
    </r>
    <r>
      <rPr>
        <b/>
        <i/>
        <sz val="14"/>
        <rFont val="Calibri"/>
        <family val="2"/>
      </rPr>
      <t>Páginas vistas por sesión catálogo</t>
    </r>
  </si>
  <si>
    <r>
      <rPr>
        <b/>
        <sz val="14"/>
        <color rgb="FF111111"/>
        <rFont val="Calibri"/>
        <family val="2"/>
      </rPr>
      <t xml:space="preserve">Pàgines vistes per sessió* portal
</t>
    </r>
    <r>
      <rPr>
        <b/>
        <i/>
        <sz val="14"/>
        <color rgb="FF111111"/>
        <rFont val="Calibri"/>
        <family val="2"/>
      </rPr>
      <t>Páginas vistas por sesión portal</t>
    </r>
  </si>
  <si>
    <r>
      <rPr>
        <b/>
        <sz val="14"/>
        <rFont val="Calibri"/>
        <family val="2"/>
      </rPr>
      <t xml:space="preserve">Durada mitjana per sessió* catàleg
</t>
    </r>
    <r>
      <rPr>
        <b/>
        <i/>
        <sz val="14"/>
        <rFont val="Calibri"/>
        <family val="2"/>
      </rPr>
      <t>Duración media por sesión catálogo</t>
    </r>
  </si>
  <si>
    <r>
      <rPr>
        <b/>
        <sz val="14"/>
        <rFont val="Calibri"/>
        <family val="2"/>
      </rPr>
      <t xml:space="preserve">Durada mitjana per sessió* portal
</t>
    </r>
    <r>
      <rPr>
        <b/>
        <i/>
        <sz val="14"/>
        <rFont val="Calibri"/>
        <family val="2"/>
      </rPr>
      <t>Duración media por sesión portal</t>
    </r>
  </si>
  <si>
    <r>
      <rPr>
        <b/>
        <sz val="14"/>
        <rFont val="Calibri"/>
        <family val="2"/>
      </rPr>
      <t xml:space="preserve">% Rebot* catàleg
</t>
    </r>
    <r>
      <rPr>
        <b/>
        <i/>
        <sz val="14"/>
        <rFont val="Calibri"/>
        <family val="2"/>
      </rPr>
      <t>% Rebote catálogo</t>
    </r>
  </si>
  <si>
    <r>
      <rPr>
        <b/>
        <sz val="14"/>
        <color rgb="FF111111"/>
        <rFont val="Calibri"/>
        <family val="2"/>
      </rPr>
      <t xml:space="preserve">% Rebot* portal
</t>
    </r>
    <r>
      <rPr>
        <b/>
        <i/>
        <sz val="14"/>
        <color rgb="FF111111"/>
        <rFont val="Calibri"/>
        <family val="2"/>
      </rPr>
      <t>% Rebote portal</t>
    </r>
  </si>
  <si>
    <r>
      <rPr>
        <b/>
        <sz val="14"/>
        <rFont val="Calibri"/>
        <family val="2"/>
      </rPr>
      <t xml:space="preserve">Usuaris/es nous/es catàleg
</t>
    </r>
    <r>
      <rPr>
        <b/>
        <i/>
        <sz val="14"/>
        <rFont val="Calibri"/>
        <family val="2"/>
      </rPr>
      <t>Usuarios/as nuevos/as catálogo</t>
    </r>
  </si>
  <si>
    <r>
      <rPr>
        <b/>
        <sz val="14"/>
        <color rgb="FF111111"/>
        <rFont val="Calibri"/>
        <family val="2"/>
      </rPr>
      <t xml:space="preserve">Usuaris/es nous/es portal
</t>
    </r>
    <r>
      <rPr>
        <b/>
        <i/>
        <sz val="14"/>
        <color rgb="FF111111"/>
        <rFont val="Calibri"/>
        <family val="2"/>
      </rPr>
      <t>Usuarios/as nuevos/as portal</t>
    </r>
  </si>
  <si>
    <r>
      <rPr>
        <b/>
        <sz val="14"/>
        <color rgb="FF111111"/>
        <rFont val="Calibri"/>
        <family val="2"/>
      </rPr>
      <t xml:space="preserve">Dia amb més sessions catàleg
</t>
    </r>
    <r>
      <rPr>
        <b/>
        <i/>
        <sz val="14"/>
        <color rgb="FF111111"/>
        <rFont val="Calibri"/>
        <family val="2"/>
      </rPr>
      <t>Día con más sesiones catálogo</t>
    </r>
  </si>
  <si>
    <t>Nombre de sessions del dia amb més sessions catàleg
Número de sesiones del día con más sesiones catálogo</t>
  </si>
  <si>
    <r>
      <rPr>
        <b/>
        <sz val="14"/>
        <color rgb="FF111111"/>
        <rFont val="Calibri"/>
        <family val="2"/>
      </rPr>
      <t xml:space="preserve">Dia amb més sessions portal
</t>
    </r>
    <r>
      <rPr>
        <b/>
        <i/>
        <sz val="14"/>
        <color rgb="FF111111"/>
        <rFont val="Calibri"/>
        <family val="2"/>
      </rPr>
      <t>Día con más sesiones portal</t>
    </r>
  </si>
  <si>
    <t>Nombre de sessions del dia amb més sessions portal
Número de sesiones del día con más sesiones portal</t>
  </si>
  <si>
    <r>
      <rPr>
        <b/>
        <sz val="20"/>
        <color rgb="FFFFFFFF"/>
        <rFont val="Calibri"/>
        <family val="2"/>
      </rPr>
      <t xml:space="preserve">Seccions/ conjunts de dades amb més visites
</t>
    </r>
    <r>
      <rPr>
        <b/>
        <i/>
        <sz val="20"/>
        <color rgb="FFFFFFFF"/>
        <rFont val="Calibri"/>
        <family val="2"/>
      </rPr>
      <t>Secciones/ conjuntos de datos con más visitas</t>
    </r>
  </si>
  <si>
    <t>1ª</t>
  </si>
  <si>
    <r>
      <rPr>
        <b/>
        <sz val="14"/>
        <color rgb="FF111111"/>
        <rFont val="Calibri"/>
        <family val="2"/>
      </rPr>
      <t xml:space="preserve">Secció
</t>
    </r>
    <r>
      <rPr>
        <b/>
        <i/>
        <sz val="14"/>
        <color rgb="FF111111"/>
        <rFont val="Calibri"/>
        <family val="2"/>
      </rPr>
      <t>Sección</t>
    </r>
  </si>
  <si>
    <t>Catàleg de dades</t>
  </si>
  <si>
    <t>Dades COVID-19</t>
  </si>
  <si>
    <r>
      <rPr>
        <b/>
        <sz val="14"/>
        <color rgb="FF111111"/>
        <rFont val="Calibri"/>
        <family val="2"/>
      </rPr>
      <t xml:space="preserve">Nombre
</t>
    </r>
    <r>
      <rPr>
        <b/>
        <i/>
        <sz val="14"/>
        <color rgb="FF111111"/>
        <rFont val="Calibri"/>
        <family val="2"/>
      </rPr>
      <t>Número</t>
    </r>
  </si>
  <si>
    <t>2ª</t>
  </si>
  <si>
    <t>Pàgina d’inici del Portal</t>
  </si>
  <si>
    <r>
      <rPr>
        <b/>
        <sz val="14"/>
        <rFont val="Calibri"/>
        <family val="2"/>
      </rPr>
      <t xml:space="preserve">Nombre
</t>
    </r>
    <r>
      <rPr>
        <b/>
        <i/>
        <sz val="14"/>
        <rFont val="Calibri"/>
        <family val="2"/>
      </rPr>
      <t>Número</t>
    </r>
  </si>
  <si>
    <t>3ª</t>
  </si>
  <si>
    <t>Visualitzacions COVID-19</t>
  </si>
  <si>
    <t>4ª</t>
  </si>
  <si>
    <t>Temes</t>
  </si>
  <si>
    <t xml:space="preserve">Temes </t>
  </si>
  <si>
    <t>5ª</t>
  </si>
  <si>
    <t>Visualitzacions de dades</t>
  </si>
  <si>
    <t>Visualtitzacions de dades</t>
  </si>
  <si>
    <r>
      <rPr>
        <b/>
        <sz val="20"/>
        <color rgb="FFFFFFFF"/>
        <rFont val="Calibri"/>
        <family val="2"/>
      </rPr>
      <t xml:space="preserve">Ciutats amb més visites
</t>
    </r>
    <r>
      <rPr>
        <b/>
        <i/>
        <sz val="20"/>
        <color rgb="FFFFFFFF"/>
        <rFont val="Calibri"/>
        <family val="2"/>
      </rPr>
      <t>Ciudades con más visitas</t>
    </r>
  </si>
  <si>
    <t>No disponible*</t>
  </si>
  <si>
    <t>València</t>
  </si>
  <si>
    <t>Madrid</t>
  </si>
  <si>
    <t>Alicante</t>
  </si>
  <si>
    <t>Barcelona</t>
  </si>
  <si>
    <t>Alacant
Alicante</t>
  </si>
  <si>
    <r>
      <rPr>
        <b/>
        <sz val="20"/>
        <color rgb="FFFFFFFF"/>
        <rFont val="Calibri"/>
        <family val="2"/>
      </rPr>
      <t xml:space="preserve">Trànsit (usuaris/es)
</t>
    </r>
    <r>
      <rPr>
        <b/>
        <i/>
        <sz val="19"/>
        <color rgb="FFFFFFFF"/>
        <rFont val="Calibri"/>
        <family val="2"/>
      </rPr>
      <t>Tráfico (usuarios/as)</t>
    </r>
  </si>
  <si>
    <r>
      <rPr>
        <b/>
        <sz val="16"/>
        <color rgb="FF068B90"/>
        <rFont val="Calibri"/>
        <family val="2"/>
      </rPr>
      <t xml:space="preserve">Directe
</t>
    </r>
    <r>
      <rPr>
        <b/>
        <i/>
        <sz val="16"/>
        <rFont val="Calibri"/>
        <family val="2"/>
      </rPr>
      <t>Directo</t>
    </r>
  </si>
  <si>
    <r>
      <rPr>
        <b/>
        <sz val="14"/>
        <rFont val="Calibri"/>
        <family val="2"/>
      </rPr>
      <t xml:space="preserve">Nombre
</t>
    </r>
    <r>
      <rPr>
        <b/>
        <sz val="14"/>
        <color rgb="FF111111"/>
        <rFont val="Calibri"/>
        <family val="2"/>
      </rPr>
      <t>Número</t>
    </r>
  </si>
  <si>
    <t>%</t>
  </si>
  <si>
    <t>26,16 %</t>
  </si>
  <si>
    <t>31,02 %</t>
  </si>
  <si>
    <t>31,63 %</t>
  </si>
  <si>
    <t>32,02%</t>
  </si>
  <si>
    <t>38,60%</t>
  </si>
  <si>
    <t>66,74%</t>
  </si>
  <si>
    <t>47,19%</t>
  </si>
  <si>
    <t>40,10%</t>
  </si>
  <si>
    <t>45,03%</t>
  </si>
  <si>
    <t>39,16%</t>
  </si>
  <si>
    <r>
      <rPr>
        <b/>
        <sz val="16"/>
        <color rgb="FF068B90"/>
        <rFont val="Calibri"/>
        <family val="2"/>
      </rPr>
      <t xml:space="preserve">Orgànic
</t>
    </r>
    <r>
      <rPr>
        <b/>
        <i/>
        <sz val="16"/>
        <color rgb="FF1B1B1B"/>
        <rFont val="Calibri"/>
        <family val="2"/>
      </rPr>
      <t>Orgánico</t>
    </r>
  </si>
  <si>
    <t>18,11 %</t>
  </si>
  <si>
    <t>26,39 %</t>
  </si>
  <si>
    <t>34,41 %</t>
  </si>
  <si>
    <t>42,85%</t>
  </si>
  <si>
    <t>51,25%</t>
  </si>
  <si>
    <t>31,05%</t>
  </si>
  <si>
    <t>44,07%</t>
  </si>
  <si>
    <t>55,16%</t>
  </si>
  <si>
    <t>50,33%</t>
  </si>
  <si>
    <t>56,13%</t>
  </si>
  <si>
    <r>
      <rPr>
        <b/>
        <sz val="16"/>
        <color rgb="FF068B90"/>
        <rFont val="Calibri"/>
        <family val="2"/>
      </rPr>
      <t xml:space="preserve">Referit
</t>
    </r>
    <r>
      <rPr>
        <b/>
        <i/>
        <sz val="16"/>
        <color rgb="FF1B1B1B"/>
        <rFont val="Calibri"/>
        <family val="2"/>
      </rPr>
      <t>Referido</t>
    </r>
  </si>
  <si>
    <t>Referido</t>
  </si>
  <si>
    <t>55,20 %</t>
  </si>
  <si>
    <t>42,58 %</t>
  </si>
  <si>
    <t>33,93 %</t>
  </si>
  <si>
    <t>25,06%</t>
  </si>
  <si>
    <t>10,15%</t>
  </si>
  <si>
    <t>1,14%</t>
  </si>
  <si>
    <t>8,74%</t>
  </si>
  <si>
    <t>4,74%</t>
  </si>
  <si>
    <t>3,98%</t>
  </si>
  <si>
    <t>4,67%</t>
  </si>
  <si>
    <r>
      <rPr>
        <b/>
        <sz val="16"/>
        <color rgb="FF068B90"/>
        <rFont val="Calibri"/>
        <family val="2"/>
      </rPr>
      <t xml:space="preserve">Social
</t>
    </r>
    <r>
      <rPr>
        <b/>
        <i/>
        <sz val="16"/>
        <rFont val="Calibri"/>
        <family val="2"/>
      </rPr>
      <t>Social</t>
    </r>
  </si>
  <si>
    <t>1</t>
  </si>
  <si>
    <t>0</t>
  </si>
  <si>
    <t>12</t>
  </si>
  <si>
    <t>0,53 %</t>
  </si>
  <si>
    <t>0,02 %</t>
  </si>
  <si>
    <t>0,03 %</t>
  </si>
  <si>
    <t>0,07%</t>
  </si>
  <si>
    <t>0,00%</t>
  </si>
  <si>
    <t>1,07%</t>
  </si>
  <si>
    <t>0,66%</t>
  </si>
  <si>
    <t>0,04%</t>
  </si>
  <si>
    <r>
      <rPr>
        <b/>
        <sz val="20"/>
        <color rgb="FFFFFFFF"/>
        <rFont val="Calibri"/>
        <family val="2"/>
      </rPr>
      <t xml:space="preserve">Dispositius (usuaris/es) 
</t>
    </r>
    <r>
      <rPr>
        <b/>
        <i/>
        <sz val="20"/>
        <color rgb="FFFFFFFF"/>
        <rFont val="Calibri"/>
        <family val="2"/>
      </rPr>
      <t>Dispositivos (usuarios/as)</t>
    </r>
  </si>
  <si>
    <r>
      <rPr>
        <b/>
        <sz val="16"/>
        <color rgb="FF068B90"/>
        <rFont val="Calibri"/>
        <family val="2"/>
      </rPr>
      <t xml:space="preserve">Ordinador
</t>
    </r>
    <r>
      <rPr>
        <b/>
        <i/>
        <sz val="16"/>
        <rFont val="Calibri"/>
        <family val="2"/>
      </rPr>
      <t>Ordenado</t>
    </r>
    <r>
      <rPr>
        <b/>
        <i/>
        <sz val="16"/>
        <color rgb="FF333333"/>
        <rFont val="Calibri"/>
        <family val="2"/>
      </rPr>
      <t>r</t>
    </r>
  </si>
  <si>
    <t>21,64 %</t>
  </si>
  <si>
    <t>40,69 %</t>
  </si>
  <si>
    <t>49,23 %</t>
  </si>
  <si>
    <t>58,64%</t>
  </si>
  <si>
    <t>70,91%</t>
  </si>
  <si>
    <t>75,91%</t>
  </si>
  <si>
    <t>70,98%</t>
  </si>
  <si>
    <t>77,15%</t>
  </si>
  <si>
    <t>78,96%</t>
  </si>
  <si>
    <r>
      <rPr>
        <b/>
        <sz val="16"/>
        <color rgb="FF068B90"/>
        <rFont val="Calibri"/>
        <family val="2"/>
      </rPr>
      <t xml:space="preserve">Mòbil 
</t>
    </r>
    <r>
      <rPr>
        <b/>
        <i/>
        <sz val="16"/>
        <rFont val="Calibri"/>
        <family val="2"/>
      </rPr>
      <t>Móvil</t>
    </r>
  </si>
  <si>
    <t>77,54 %</t>
  </si>
  <si>
    <t>58,49 %</t>
  </si>
  <si>
    <t>49,90 %</t>
  </si>
  <si>
    <t>40,02%</t>
  </si>
  <si>
    <t>28,16%</t>
  </si>
  <si>
    <t>22,77%</t>
  </si>
  <si>
    <t>27,59%</t>
  </si>
  <si>
    <t>21,90%</t>
  </si>
  <si>
    <t>20,17%</t>
  </si>
  <si>
    <r>
      <rPr>
        <b/>
        <sz val="16"/>
        <color rgb="FF068B90"/>
        <rFont val="Calibri"/>
        <family val="2"/>
      </rPr>
      <t xml:space="preserve">Tauleta tàctil
</t>
    </r>
    <r>
      <rPr>
        <b/>
        <i/>
        <sz val="16"/>
        <rFont val="Calibri"/>
        <family val="2"/>
      </rPr>
      <t>Tableta táctil</t>
    </r>
  </si>
  <si>
    <t>24</t>
  </si>
  <si>
    <t>27</t>
  </si>
  <si>
    <t>17</t>
  </si>
  <si>
    <t>19</t>
  </si>
  <si>
    <t>0,82 %</t>
  </si>
  <si>
    <t>0,87 %</t>
  </si>
  <si>
    <t>1,34%</t>
  </si>
  <si>
    <t>0,93%</t>
  </si>
  <si>
    <t>1,32%</t>
  </si>
  <si>
    <t>1,42%</t>
  </si>
  <si>
    <t>1,45%</t>
  </si>
  <si>
    <t>0,95%</t>
  </si>
  <si>
    <t>0,87%</t>
  </si>
  <si>
    <t>n.a. - No aplicable</t>
  </si>
  <si>
    <t xml:space="preserve">Font: Google Analytics </t>
  </si>
  <si>
    <t>Fuente: Google Analytics</t>
  </si>
  <si>
    <t>Actualització: mensual</t>
  </si>
  <si>
    <t>Actualización: mensual</t>
  </si>
  <si>
    <t>* Google Analytics no ha pogut identificar la ciutat</t>
  </si>
  <si>
    <t>* Google Analytics no ha podido identificar la ciudad</t>
  </si>
  <si>
    <t>** General: es mostren les estadístiques de Google Analytics del Portal de Dades Obertes i del Catàleg de dades (CKAN)</t>
  </si>
  <si>
    <t>** General: se muestran las estadísticas de Google Analytics del Portal de Datos Abiertos y del Catálogo de datos (CKAN)</t>
  </si>
  <si>
    <r>
      <rPr>
        <b/>
        <sz val="28"/>
        <color rgb="FFFFFFFF"/>
        <rFont val="Calibri"/>
        <family val="2"/>
      </rPr>
      <t xml:space="preserve">Mètriques Google Analytics 2021 del Portal de Dades Obertes de la Generalitat
</t>
    </r>
    <r>
      <rPr>
        <b/>
        <i/>
        <sz val="28"/>
        <color rgb="FFFFFFFF"/>
        <rFont val="Calibri"/>
        <family val="2"/>
      </rPr>
      <t>Métricas Google Analytics 2021 del Portal de Dades Obertes de la Generalitat</t>
    </r>
  </si>
  <si>
    <t xml:space="preserve">
00:02:08</t>
  </si>
  <si>
    <t>3.355</t>
  </si>
  <si>
    <t>ERTO/ERO</t>
  </si>
  <si>
    <t>Visualitzacions Covid 19</t>
  </si>
  <si>
    <t>1.224</t>
  </si>
  <si>
    <t>Educació</t>
  </si>
  <si>
    <t>446</t>
  </si>
  <si>
    <t>39,29 %</t>
  </si>
  <si>
    <t>32,58 %</t>
  </si>
  <si>
    <t>37,42 %</t>
  </si>
  <si>
    <t>37,31%</t>
  </si>
  <si>
    <t>45,17%</t>
  </si>
  <si>
    <t>44,74 %</t>
  </si>
  <si>
    <t>38,75 %</t>
  </si>
  <si>
    <t>36,71 %</t>
  </si>
  <si>
    <t>40,33 %</t>
  </si>
  <si>
    <t>39,65 %</t>
  </si>
  <si>
    <t>36,03 %</t>
  </si>
  <si>
    <t>29,25 %</t>
  </si>
  <si>
    <t>7,18 %</t>
  </si>
  <si>
    <t>8,16 %</t>
  </si>
  <si>
    <t>11,82 %</t>
  </si>
  <si>
    <t>13,55%</t>
  </si>
  <si>
    <t>14,02%</t>
  </si>
  <si>
    <t>14,85 %</t>
  </si>
  <si>
    <t>8,22 %</t>
  </si>
  <si>
    <t>10,91 %</t>
  </si>
  <si>
    <t>18,92 %</t>
  </si>
  <si>
    <t>25,19 %</t>
  </si>
  <si>
    <t>25,17 %</t>
  </si>
  <si>
    <t>50,88 %</t>
  </si>
  <si>
    <t>57,72 %</t>
  </si>
  <si>
    <t>50,58 %</t>
  </si>
  <si>
    <t>48,57%</t>
  </si>
  <si>
    <t>40,62%</t>
  </si>
  <si>
    <t>39,53 %</t>
  </si>
  <si>
    <t>52,74 %</t>
  </si>
  <si>
    <t>52,23 %</t>
  </si>
  <si>
    <t>40,56 %</t>
  </si>
  <si>
    <t>35,09 %</t>
  </si>
  <si>
    <t>49,35 %</t>
  </si>
  <si>
    <t>14</t>
  </si>
  <si>
    <t>11</t>
  </si>
  <si>
    <t>34</t>
  </si>
  <si>
    <t>8</t>
  </si>
  <si>
    <t>3</t>
  </si>
  <si>
    <t>25</t>
  </si>
  <si>
    <t>2,65 %</t>
  </si>
  <si>
    <t>1,52 %</t>
  </si>
  <si>
    <t>0,18 %</t>
  </si>
  <si>
    <t>0,57%</t>
  </si>
  <si>
    <t>0,19%</t>
  </si>
  <si>
    <t>0,88 %</t>
  </si>
  <si>
    <t>0,27 %</t>
  </si>
  <si>
    <t>0,19 %</t>
  </si>
  <si>
    <t>0,08 %</t>
  </si>
  <si>
    <t>0,05 %</t>
  </si>
  <si>
    <t>0,22 %</t>
  </si>
  <si>
    <t>25,07 %</t>
  </si>
  <si>
    <t>30,56 %</t>
  </si>
  <si>
    <t>35,08 %</t>
  </si>
  <si>
    <t>34,52%</t>
  </si>
  <si>
    <t>41,49%</t>
  </si>
  <si>
    <t>36,53 %</t>
  </si>
  <si>
    <t>23,48 %</t>
  </si>
  <si>
    <t>40,13 %</t>
  </si>
  <si>
    <t>45,88 %</t>
  </si>
  <si>
    <t>41,28 %</t>
  </si>
  <si>
    <t>23,75 %</t>
  </si>
  <si>
    <t>73,19 %</t>
  </si>
  <si>
    <t>67,79 %</t>
  </si>
  <si>
    <t>63,53 %</t>
  </si>
  <si>
    <t>63,91%</t>
  </si>
  <si>
    <t>56,96%</t>
  </si>
  <si>
    <t>62,25 %</t>
  </si>
  <si>
    <t>75,31 %</t>
  </si>
  <si>
    <t>58,95 %</t>
  </si>
  <si>
    <t>52,73 %</t>
  </si>
  <si>
    <t>57,31 %</t>
  </si>
  <si>
    <t>75,17 %</t>
  </si>
  <si>
    <t>91</t>
  </si>
  <si>
    <t>150</t>
  </si>
  <si>
    <t>39</t>
  </si>
  <si>
    <t>54</t>
  </si>
  <si>
    <t>77</t>
  </si>
  <si>
    <t>120</t>
  </si>
  <si>
    <t>1,74 %</t>
  </si>
  <si>
    <t>1,65 %</t>
  </si>
  <si>
    <t>1,38 %</t>
  </si>
  <si>
    <t>1,57%</t>
  </si>
  <si>
    <t>1,55%</t>
  </si>
  <si>
    <t>1,23 %</t>
  </si>
  <si>
    <t>1,22 %</t>
  </si>
  <si>
    <t>1,06 %</t>
  </si>
  <si>
    <t>0,92 %</t>
  </si>
  <si>
    <t>1,40 %</t>
  </si>
  <si>
    <t>1,41 %</t>
  </si>
  <si>
    <t>1,08 %</t>
  </si>
  <si>
    <r>
      <rPr>
        <b/>
        <sz val="28"/>
        <color rgb="FFFFFFFF"/>
        <rFont val="Calibri"/>
        <family val="2"/>
      </rPr>
      <t xml:space="preserve">Mètriques Google Analytics 2020 del Portal de Dades Obertes de la Generalitat
</t>
    </r>
    <r>
      <rPr>
        <b/>
        <i/>
        <sz val="28"/>
        <color rgb="FFFFFFFF"/>
        <rFont val="Calibri"/>
        <family val="2"/>
      </rPr>
      <t>Métricas Google Analytics 2020 del Portal de Dades Obertes de la Generalitat</t>
    </r>
  </si>
  <si>
    <t>General</t>
  </si>
  <si>
    <r>
      <rPr>
        <b/>
        <sz val="14"/>
        <rFont val="Calibri"/>
        <family val="2"/>
      </rPr>
      <t xml:space="preserve">Sessions
</t>
    </r>
    <r>
      <rPr>
        <b/>
        <i/>
        <sz val="14"/>
        <color rgb="FF111111"/>
        <rFont val="Calibri"/>
        <family val="2"/>
      </rPr>
      <t>Sesiones</t>
    </r>
  </si>
  <si>
    <r>
      <rPr>
        <b/>
        <sz val="14"/>
        <rFont val="Calibri"/>
        <family val="2"/>
      </rPr>
      <t xml:space="preserve">Usuaris/es
</t>
    </r>
    <r>
      <rPr>
        <b/>
        <i/>
        <sz val="14"/>
        <color rgb="FF111111"/>
        <rFont val="Calibri"/>
        <family val="2"/>
      </rPr>
      <t>Usuarios/as</t>
    </r>
  </si>
  <si>
    <r>
      <rPr>
        <b/>
        <sz val="14"/>
        <color rgb="FF111111"/>
        <rFont val="Calibri"/>
        <family val="2"/>
      </rPr>
      <t xml:space="preserve">Nombre de visites a pàgines 
</t>
    </r>
    <r>
      <rPr>
        <b/>
        <i/>
        <sz val="14"/>
        <color rgb="FF111111"/>
        <rFont val="Calibri"/>
        <family val="2"/>
      </rPr>
      <t>Número de visitas a páginas</t>
    </r>
  </si>
  <si>
    <r>
      <rPr>
        <b/>
        <sz val="14"/>
        <color rgb="FF111111"/>
        <rFont val="Calibri"/>
        <family val="2"/>
      </rPr>
      <t xml:space="preserve">Pàgines vistes per sessió*
</t>
    </r>
    <r>
      <rPr>
        <b/>
        <i/>
        <sz val="14"/>
        <color rgb="FF111111"/>
        <rFont val="Calibri"/>
        <family val="2"/>
      </rPr>
      <t>Páginas vistas por sesión</t>
    </r>
  </si>
  <si>
    <r>
      <rPr>
        <b/>
        <sz val="14"/>
        <color rgb="FF111111"/>
        <rFont val="Calibri"/>
        <family val="2"/>
      </rPr>
      <t xml:space="preserve">Durada mitjana per sessió*
</t>
    </r>
    <r>
      <rPr>
        <b/>
        <i/>
        <sz val="14"/>
        <color rgb="FF111111"/>
        <rFont val="Calibri"/>
        <family val="2"/>
      </rPr>
      <t>Duración media por sesión</t>
    </r>
  </si>
  <si>
    <r>
      <rPr>
        <b/>
        <sz val="14"/>
        <color rgb="FF111111"/>
        <rFont val="Calibri"/>
        <family val="2"/>
      </rPr>
      <t xml:space="preserve">% Rebot*
</t>
    </r>
    <r>
      <rPr>
        <b/>
        <i/>
        <sz val="14"/>
        <color rgb="FF111111"/>
        <rFont val="Calibri"/>
        <family val="2"/>
      </rPr>
      <t>% Rebote</t>
    </r>
  </si>
  <si>
    <r>
      <rPr>
        <b/>
        <sz val="14"/>
        <color rgb="FF111111"/>
        <rFont val="Calibri"/>
        <family val="2"/>
      </rPr>
      <t xml:space="preserve">Usuaris/es nous/es
</t>
    </r>
    <r>
      <rPr>
        <b/>
        <i/>
        <sz val="14"/>
        <color rgb="FF111111"/>
        <rFont val="Calibri"/>
        <family val="2"/>
      </rPr>
      <t>Usuarios/as nuevos/as</t>
    </r>
  </si>
  <si>
    <t xml:space="preserve">- </t>
  </si>
  <si>
    <t>-</t>
  </si>
  <si>
    <r>
      <rPr>
        <b/>
        <sz val="14"/>
        <color rgb="FF111111"/>
        <rFont val="Calibri"/>
      </rPr>
      <t xml:space="preserve">Dia amb més sessions
</t>
    </r>
    <r>
      <rPr>
        <b/>
        <i/>
        <sz val="14"/>
        <color rgb="FF111111"/>
        <rFont val="Calibri"/>
      </rPr>
      <t>Día con más sesiones</t>
    </r>
  </si>
  <si>
    <t>Nombre de sessions del dia amb més sessions
Número de sesiones del día con más sesiones</t>
  </si>
  <si>
    <r>
      <rPr>
        <b/>
        <sz val="20"/>
        <color rgb="FFFFFFFF"/>
        <rFont val="Calibri"/>
        <family val="2"/>
      </rPr>
      <t xml:space="preserve">Seccions amb més visites
</t>
    </r>
    <r>
      <rPr>
        <b/>
        <i/>
        <sz val="20"/>
        <color rgb="FFFFFFFF"/>
        <rFont val="Calibri"/>
        <family val="2"/>
      </rPr>
      <t>Secciones con más visitas</t>
    </r>
  </si>
  <si>
    <t>Salut</t>
  </si>
  <si>
    <t>Què són les dades obertes?</t>
  </si>
  <si>
    <t xml:space="preserve">No disponible * </t>
  </si>
  <si>
    <t>Alacant 
Alicante</t>
  </si>
  <si>
    <t>Bilbao</t>
  </si>
  <si>
    <r>
      <rPr>
        <b/>
        <sz val="20"/>
        <color rgb="FFFFFFFF"/>
        <rFont val="Calibri"/>
        <family val="2"/>
      </rPr>
      <t xml:space="preserve">Trànsit (sessions)
</t>
    </r>
    <r>
      <rPr>
        <b/>
        <i/>
        <sz val="19"/>
        <color rgb="FFFFFFFF"/>
        <rFont val="Calibri"/>
        <family val="2"/>
      </rPr>
      <t>Tráfico (sesiones)</t>
    </r>
  </si>
  <si>
    <t>70,32 %</t>
  </si>
  <si>
    <t>64,89 %</t>
  </si>
  <si>
    <t>59,99 %</t>
  </si>
  <si>
    <t>28,39 %</t>
  </si>
  <si>
    <t>62,01 %</t>
  </si>
  <si>
    <t>52,59 %</t>
  </si>
  <si>
    <t>47,54 %</t>
  </si>
  <si>
    <t>50,43 %</t>
  </si>
  <si>
    <t>48,25 %</t>
  </si>
  <si>
    <t>47,51 %</t>
  </si>
  <si>
    <t>51,91 %</t>
  </si>
  <si>
    <t>29,22 %</t>
  </si>
  <si>
    <t>26,79 %</t>
  </si>
  <si>
    <t>27,38 %</t>
  </si>
  <si>
    <t>5,46%</t>
  </si>
  <si>
    <t>6,56 %</t>
  </si>
  <si>
    <t>9,75 %</t>
  </si>
  <si>
    <t>9,47 %</t>
  </si>
  <si>
    <t>5,15 %</t>
  </si>
  <si>
    <t>3,18 %</t>
  </si>
  <si>
    <t>2,45 %</t>
  </si>
  <si>
    <t>2,80 %</t>
  </si>
  <si>
    <t>0,46 %</t>
  </si>
  <si>
    <t>8,32 %</t>
  </si>
  <si>
    <t>11,55 %</t>
  </si>
  <si>
    <t>67,28%</t>
  </si>
  <si>
    <t>61,54 %</t>
  </si>
  <si>
    <t>27,13 %</t>
  </si>
  <si>
    <t>37,27 %</t>
  </si>
  <si>
    <t>38,90 %</t>
  </si>
  <si>
    <t>44,57 %</t>
  </si>
  <si>
    <t>46,22 %</t>
  </si>
  <si>
    <t>47,48 %</t>
  </si>
  <si>
    <t>37,48 %</t>
  </si>
  <si>
    <t>15</t>
  </si>
  <si>
    <t>1.120</t>
  </si>
  <si>
    <t>49</t>
  </si>
  <si>
    <t>966</t>
  </si>
  <si>
    <t>177</t>
  </si>
  <si>
    <t>316</t>
  </si>
  <si>
    <t>290</t>
  </si>
  <si>
    <t>420</t>
  </si>
  <si>
    <t>1,09 %</t>
  </si>
  <si>
    <t>2,20%</t>
  </si>
  <si>
    <t>3,51 %</t>
  </si>
  <si>
    <t>1,10 %</t>
  </si>
  <si>
    <t>0,66 %</t>
  </si>
  <si>
    <t>8,41 %</t>
  </si>
  <si>
    <t>1,82 %</t>
  </si>
  <si>
    <t>3,07 %</t>
  </si>
  <si>
    <t>2,22 %</t>
  </si>
  <si>
    <t>3,88 %</t>
  </si>
  <si>
    <r>
      <rPr>
        <b/>
        <sz val="20"/>
        <color rgb="FFFFFFFF"/>
        <rFont val="Calibri"/>
        <family val="2"/>
      </rPr>
      <t xml:space="preserve">Dispositius (sessions) 
</t>
    </r>
    <r>
      <rPr>
        <b/>
        <i/>
        <sz val="20"/>
        <color rgb="FFFFFFFF"/>
        <rFont val="Calibri"/>
        <family val="2"/>
      </rPr>
      <t>Dispositivos (sesiones)</t>
    </r>
  </si>
  <si>
    <t>86,12 %</t>
  </si>
  <si>
    <t>89,57 %</t>
  </si>
  <si>
    <t>87,73 %</t>
  </si>
  <si>
    <t>53,71%</t>
  </si>
  <si>
    <t>45,53 %</t>
  </si>
  <si>
    <t>58,24 %</t>
  </si>
  <si>
    <t>53,82 %</t>
  </si>
  <si>
    <t>35,49 %</t>
  </si>
  <si>
    <t>48,10 %</t>
  </si>
  <si>
    <t>49,76 %</t>
  </si>
  <si>
    <t>47,05 %</t>
  </si>
  <si>
    <t>72,52 %</t>
  </si>
  <si>
    <t>11,04 %</t>
  </si>
  <si>
    <t>9,27 %</t>
  </si>
  <si>
    <t>10,82 %</t>
  </si>
  <si>
    <t>42,72%</t>
  </si>
  <si>
    <t>51,16 %</t>
  </si>
  <si>
    <t>39,35 %</t>
  </si>
  <si>
    <t>44,58 %</t>
  </si>
  <si>
    <t>62,60 %</t>
  </si>
  <si>
    <t>50,60 %</t>
  </si>
  <si>
    <t>48,77 %</t>
  </si>
  <si>
    <t>50,75 %</t>
  </si>
  <si>
    <t>24,42 %</t>
  </si>
  <si>
    <t>1.057</t>
  </si>
  <si>
    <t>118</t>
  </si>
  <si>
    <t>219</t>
  </si>
  <si>
    <t>127</t>
  </si>
  <si>
    <t>151</t>
  </si>
  <si>
    <t>286</t>
  </si>
  <si>
    <t>203</t>
  </si>
  <si>
    <t>2,84 %</t>
  </si>
  <si>
    <t>1,16 %</t>
  </si>
  <si>
    <t>1,45 %</t>
  </si>
  <si>
    <t>3,57%</t>
  </si>
  <si>
    <t>3,31 %</t>
  </si>
  <si>
    <t>2,41 %</t>
  </si>
  <si>
    <t>1,59 %</t>
  </si>
  <si>
    <t>1,91 %</t>
  </si>
  <si>
    <t>1,31 %</t>
  </si>
  <si>
    <t>1,47 %</t>
  </si>
  <si>
    <t>2,19 %</t>
  </si>
  <si>
    <t>2016**</t>
  </si>
  <si>
    <t>2017</t>
  </si>
  <si>
    <t>2018</t>
  </si>
  <si>
    <t>2019</t>
  </si>
  <si>
    <t>2020</t>
  </si>
  <si>
    <t>2021</t>
  </si>
  <si>
    <r>
      <rPr>
        <b/>
        <sz val="16"/>
        <rFont val="Calibri"/>
        <family val="2"/>
      </rPr>
      <t xml:space="preserve">Sessions
</t>
    </r>
    <r>
      <rPr>
        <b/>
        <i/>
        <sz val="16"/>
        <color rgb="FF111111"/>
        <rFont val="Calibri"/>
        <family val="2"/>
      </rPr>
      <t>Sesiones</t>
    </r>
  </si>
  <si>
    <r>
      <rPr>
        <b/>
        <sz val="16"/>
        <rFont val="Calibri"/>
        <family val="2"/>
      </rPr>
      <t xml:space="preserve">Usuaris/es
</t>
    </r>
    <r>
      <rPr>
        <b/>
        <i/>
        <sz val="16"/>
        <color rgb="FF111111"/>
        <rFont val="Calibri"/>
        <family val="2"/>
      </rPr>
      <t>Usuarios/as</t>
    </r>
  </si>
  <si>
    <r>
      <rPr>
        <b/>
        <sz val="16"/>
        <color rgb="FF111111"/>
        <rFont val="Calibri"/>
        <family val="2"/>
      </rPr>
      <t xml:space="preserve">Nombre de visites a pàgines 
</t>
    </r>
    <r>
      <rPr>
        <b/>
        <i/>
        <sz val="16"/>
        <color rgb="FF111111"/>
        <rFont val="Calibri"/>
        <family val="2"/>
      </rPr>
      <t>Número de visitas a páginas</t>
    </r>
  </si>
  <si>
    <r>
      <rPr>
        <b/>
        <sz val="16"/>
        <color rgb="FF111111"/>
        <rFont val="Calibri"/>
        <family val="2"/>
      </rPr>
      <t xml:space="preserve">Pàgines vistes per sessió*
</t>
    </r>
    <r>
      <rPr>
        <b/>
        <i/>
        <sz val="16"/>
        <color rgb="FF111111"/>
        <rFont val="Calibri"/>
        <family val="2"/>
      </rPr>
      <t>Páginas vistas por sesión</t>
    </r>
  </si>
  <si>
    <r>
      <rPr>
        <b/>
        <sz val="16"/>
        <color rgb="FF111111"/>
        <rFont val="Calibri"/>
        <family val="2"/>
      </rPr>
      <t xml:space="preserve">Durada mitjana per sessió*
</t>
    </r>
    <r>
      <rPr>
        <b/>
        <i/>
        <sz val="16"/>
        <color rgb="FF111111"/>
        <rFont val="Calibri"/>
        <family val="2"/>
      </rPr>
      <t>Duración media por sesión</t>
    </r>
  </si>
  <si>
    <r>
      <rPr>
        <b/>
        <sz val="16"/>
        <color rgb="FF111111"/>
        <rFont val="Calibri"/>
        <family val="2"/>
      </rPr>
      <t xml:space="preserve">% Rebot*
</t>
    </r>
    <r>
      <rPr>
        <b/>
        <i/>
        <sz val="16"/>
        <color rgb="FF111111"/>
        <rFont val="Calibri"/>
        <family val="2"/>
      </rPr>
      <t>% Rebote</t>
    </r>
  </si>
  <si>
    <r>
      <rPr>
        <b/>
        <sz val="16"/>
        <color rgb="FF111111"/>
        <rFont val="Calibri"/>
        <family val="2"/>
      </rPr>
      <t xml:space="preserve">Usuaris/es nous/es
</t>
    </r>
    <r>
      <rPr>
        <b/>
        <i/>
        <sz val="16"/>
        <color rgb="FF111111"/>
        <rFont val="Calibri"/>
        <family val="2"/>
      </rPr>
      <t>Usuarios/as nuevos/as</t>
    </r>
  </si>
  <si>
    <r>
      <rPr>
        <b/>
        <sz val="16"/>
        <color rgb="FF111111"/>
        <rFont val="Calibri"/>
        <family val="2"/>
      </rPr>
      <t xml:space="preserve">Dia amb més sessions¹
</t>
    </r>
    <r>
      <rPr>
        <b/>
        <i/>
        <sz val="16"/>
        <color rgb="FF111111"/>
        <rFont val="Calibri"/>
        <family val="2"/>
      </rPr>
      <t>Día con más sesiones¹</t>
    </r>
  </si>
  <si>
    <t>Nombre de sessions del dia amb més sessions¹
Número de sesiones del día con más sesiones¹</t>
  </si>
  <si>
    <r>
      <rPr>
        <b/>
        <sz val="15"/>
        <rFont val="Calibri"/>
        <family val="2"/>
      </rPr>
      <t xml:space="preserve">Ciutat
</t>
    </r>
    <r>
      <rPr>
        <b/>
        <i/>
        <sz val="15"/>
        <rFont val="Calibri"/>
        <family val="2"/>
      </rPr>
      <t>Ciudad</t>
    </r>
  </si>
  <si>
    <r>
      <rPr>
        <b/>
        <sz val="15"/>
        <rFont val="Calibri"/>
        <family val="2"/>
      </rPr>
      <t xml:space="preserve">Sessions
</t>
    </r>
    <r>
      <rPr>
        <b/>
        <i/>
        <sz val="15"/>
        <rFont val="Calibri"/>
        <family val="2"/>
      </rPr>
      <t>Sesiones</t>
    </r>
  </si>
  <si>
    <r>
      <rPr>
        <b/>
        <sz val="15"/>
        <rFont val="Calibri"/>
        <family val="2"/>
      </rPr>
      <t xml:space="preserve">% Sessions
</t>
    </r>
    <r>
      <rPr>
        <b/>
        <i/>
        <sz val="15"/>
        <rFont val="Calibri"/>
        <family val="2"/>
      </rPr>
      <t>% Sesions</t>
    </r>
  </si>
  <si>
    <t>24,08 %</t>
  </si>
  <si>
    <t>27,11 %</t>
  </si>
  <si>
    <t>30,48 %</t>
  </si>
  <si>
    <t>29,39 %</t>
  </si>
  <si>
    <t>13,92 %</t>
  </si>
  <si>
    <t>15,81 %</t>
  </si>
  <si>
    <t>20,53 %</t>
  </si>
  <si>
    <t xml:space="preserve">Samara </t>
  </si>
  <si>
    <t>13,28 %</t>
  </si>
  <si>
    <t>14,04 %</t>
  </si>
  <si>
    <t>7,50 %</t>
  </si>
  <si>
    <t>10,70 %</t>
  </si>
  <si>
    <t>11,31 %</t>
  </si>
  <si>
    <t>5,90 %</t>
  </si>
  <si>
    <t>6,22 %</t>
  </si>
  <si>
    <t>9,53 %</t>
  </si>
  <si>
    <r>
      <rPr>
        <sz val="14"/>
        <rFont val="Calibri"/>
        <family val="2"/>
      </rPr>
      <t xml:space="preserve">Alacant
</t>
    </r>
    <r>
      <rPr>
        <i/>
        <sz val="14"/>
        <rFont val="Calibri"/>
        <family val="2"/>
      </rPr>
      <t>Alicante</t>
    </r>
  </si>
  <si>
    <r>
      <rPr>
        <b/>
        <sz val="14"/>
        <rFont val="Calibri"/>
        <family val="2"/>
      </rPr>
      <t xml:space="preserve">Alacant 
</t>
    </r>
    <r>
      <rPr>
        <b/>
        <i/>
        <sz val="14"/>
        <rFont val="Calibri"/>
        <family val="2"/>
      </rPr>
      <t xml:space="preserve">Alicante </t>
    </r>
  </si>
  <si>
    <t>7,11 %</t>
  </si>
  <si>
    <t>3,77 %</t>
  </si>
  <si>
    <t>4,47 %</t>
  </si>
  <si>
    <t>2,81 %</t>
  </si>
  <si>
    <r>
      <rPr>
        <b/>
        <sz val="20"/>
        <color rgb="FFFFFFFF"/>
        <rFont val="Calibri"/>
        <family val="2"/>
      </rPr>
      <t xml:space="preserve">Navegador més utilitzat
</t>
    </r>
    <r>
      <rPr>
        <b/>
        <i/>
        <sz val="20"/>
        <color rgb="FFFFFFFF"/>
        <rFont val="Calibri"/>
        <family val="2"/>
      </rPr>
      <t>Navegador más utilizado</t>
    </r>
  </si>
  <si>
    <t>Navegador</t>
  </si>
  <si>
    <t>Chrome</t>
  </si>
  <si>
    <t>49,37 %</t>
  </si>
  <si>
    <t>53,83 %</t>
  </si>
  <si>
    <t>57,71 %</t>
  </si>
  <si>
    <t>54,44 %</t>
  </si>
  <si>
    <t>Firefox</t>
  </si>
  <si>
    <t>20,22 %</t>
  </si>
  <si>
    <t>23,45 %</t>
  </si>
  <si>
    <t>19,75 %</t>
  </si>
  <si>
    <t>19,24 %</t>
  </si>
  <si>
    <t>Safari</t>
  </si>
  <si>
    <t>Internet Explorer</t>
  </si>
  <si>
    <t>Python-urllib</t>
  </si>
  <si>
    <t>16,95 %</t>
  </si>
  <si>
    <t>9,65 %</t>
  </si>
  <si>
    <t>6,31 %</t>
  </si>
  <si>
    <t>Samsung Internet</t>
  </si>
  <si>
    <t>9,45 %</t>
  </si>
  <si>
    <t>8,68 %</t>
  </si>
  <si>
    <t>6,93 %</t>
  </si>
  <si>
    <t>6,07 %</t>
  </si>
  <si>
    <t>Microsoft Edge</t>
  </si>
  <si>
    <t>1,75 %</t>
  </si>
  <si>
    <t>2,64 %</t>
  </si>
  <si>
    <t>5,86 %</t>
  </si>
  <si>
    <t>5,20 %</t>
  </si>
  <si>
    <r>
      <rPr>
        <b/>
        <sz val="20"/>
        <color rgb="FFFFFFFF"/>
        <rFont val="Calibri"/>
        <family val="2"/>
      </rPr>
      <t xml:space="preserve">Trànsit (sessions²)
</t>
    </r>
    <r>
      <rPr>
        <b/>
        <i/>
        <sz val="19"/>
        <color rgb="FFFFFFFF"/>
        <rFont val="Calibri"/>
        <family val="2"/>
      </rPr>
      <t>Tráfico (sesiones²)</t>
    </r>
  </si>
  <si>
    <r>
      <rPr>
        <b/>
        <sz val="15"/>
        <rFont val="Calibri"/>
        <family val="2"/>
      </rPr>
      <t xml:space="preserve">Nombre
</t>
    </r>
    <r>
      <rPr>
        <b/>
        <sz val="15"/>
        <color rgb="FF111111"/>
        <rFont val="Calibri"/>
        <family val="2"/>
      </rPr>
      <t>Número</t>
    </r>
  </si>
  <si>
    <t>64,58 %</t>
  </si>
  <si>
    <t>72,74 %</t>
  </si>
  <si>
    <t>56,88 %</t>
  </si>
  <si>
    <t>71,97 %</t>
  </si>
  <si>
    <t>17,67 %</t>
  </si>
  <si>
    <t>23,59 %</t>
  </si>
  <si>
    <t>37,13 %</t>
  </si>
  <si>
    <t>27,74 %</t>
  </si>
  <si>
    <t>9,55 %</t>
  </si>
  <si>
    <t>3,61 %</t>
  </si>
  <si>
    <t>5,94 %</t>
  </si>
  <si>
    <t>0,21 %</t>
  </si>
  <si>
    <t>6</t>
  </si>
  <si>
    <t>8,17 %</t>
  </si>
  <si>
    <t>0,06 %</t>
  </si>
  <si>
    <t>0,09 %</t>
  </si>
  <si>
    <r>
      <rPr>
        <b/>
        <sz val="20"/>
        <color rgb="FFFFFFFF"/>
        <rFont val="Calibri"/>
        <family val="2"/>
      </rPr>
      <t xml:space="preserve">Dispositius (sessions²) 
</t>
    </r>
    <r>
      <rPr>
        <b/>
        <i/>
        <sz val="20"/>
        <color rgb="FFFFFFFF"/>
        <rFont val="Calibri"/>
        <family val="2"/>
      </rPr>
      <t>Dispositivos (sesiones²)</t>
    </r>
  </si>
  <si>
    <t>79,71 %</t>
  </si>
  <si>
    <t>84,53 %</t>
  </si>
  <si>
    <t>88,01 %</t>
  </si>
  <si>
    <t>86,89 %</t>
  </si>
  <si>
    <t>16,80 %</t>
  </si>
  <si>
    <t>11,92 %</t>
  </si>
  <si>
    <t>9,43 %</t>
  </si>
  <si>
    <t>10,38 %</t>
  </si>
  <si>
    <t>3,49 %</t>
  </si>
  <si>
    <t>3,55 %</t>
  </si>
  <si>
    <t>2,56 %</t>
  </si>
  <si>
    <t>2,73 %</t>
  </si>
  <si>
    <t xml:space="preserve">** Les dades del 2016 comencen a partir del 8 de maig </t>
  </si>
  <si>
    <t xml:space="preserve">** Los datos del 2016 empiezan a partir del 8 de mayo </t>
  </si>
  <si>
    <t>¹Les dades anteriors a l’any 2020 corresponen al dia amb més visites d’usuaris.</t>
  </si>
  <si>
    <t>¹Los datos anteriores al año 2020 corresponden al día con más visitas de usuarios.</t>
  </si>
  <si>
    <t>²El nombre de sessions es calcula a partir de l’any 2020 per problemes tècnics.</t>
  </si>
  <si>
    <t>²El número de sesiones se calcula a partir del año 2020 por problemas técnicos.</t>
  </si>
  <si>
    <t>Glossari</t>
  </si>
  <si>
    <t>Sessions</t>
  </si>
  <si>
    <t>Període de temps en què un usuari està actiu en el lloc web. De manera predeterminada, si un usuari està inactiu durant 30 minuts o més, qualsevol activitat futura que hi realitze s'atribuirà a una sessió nova.</t>
  </si>
  <si>
    <t>Usuaris/es</t>
  </si>
  <si>
    <t>Fa referència a un navegador específic. Una persona que accedeix amb distints navegadors o mètodes d'accés (ordinador, tauleta tàctil i mòbil) no es considerarà el mateix usuari.</t>
  </si>
  <si>
    <t xml:space="preserve">Nombre de visites a pàgines </t>
  </si>
  <si>
    <t xml:space="preserve">Nombre total de pàgines vistes; les visites repetides a una mateixa pàgina també es comptabilitzen </t>
  </si>
  <si>
    <t xml:space="preserve">Pàgines vistes per sessió </t>
  </si>
  <si>
    <t>Nombre total de pàgines vistes; les visites repetides a una mateixa pàgina també es comptabilitzen.</t>
  </si>
  <si>
    <t>Duració mitjana per sessió</t>
  </si>
  <si>
    <t xml:space="preserve">Temps mitjà d'una sessió. </t>
  </si>
  <si>
    <t>Percentatge % de Rebot</t>
  </si>
  <si>
    <t xml:space="preserve"> Percentatge de visites que es realitzen a una sola pàgina del nostre lloc web abans d'eixir d'aquest.</t>
  </si>
  <si>
    <t>Usuaris/es nous/es</t>
  </si>
  <si>
    <t>Nombre d'usuaris/es nous/es del nostre lloc web durant el període seleccionat.</t>
  </si>
  <si>
    <t>Dia amb més sessions</t>
  </si>
  <si>
    <t>Dia amb més visites durant el període seleccionat. 
Les dades anteriors a l’any 2020 corresponen al dia amb més visites d’usuaris.</t>
  </si>
  <si>
    <t>Nombre de sessions del dia amb més sessions</t>
  </si>
  <si>
    <t>Nombre de visites del dia amb més visites durant el període seleccionat.
Les dades anteriors a l’any 2020 corresponen al dia amb més visites d’usuaris.</t>
  </si>
  <si>
    <t>Ciutats amb més visites</t>
  </si>
  <si>
    <t>Llista de les cinc ciutats d'origen amb més visites durant el període seleccionat.</t>
  </si>
  <si>
    <t>Trànsit orgànic</t>
  </si>
  <si>
    <t>Persones usuàries que arriben a la web a través dels cercadors.</t>
  </si>
  <si>
    <t>Trànsit referit</t>
  </si>
  <si>
    <t>Persones usuàries que arriben a través d'una font o enllaços en altres llocs web.</t>
  </si>
  <si>
    <t>Trànsit directe</t>
  </si>
  <si>
    <t>Persones usuàries que arriben a l'introduir la URL del nostre lloc web.</t>
  </si>
  <si>
    <t>Trànsit social</t>
  </si>
  <si>
    <t>Persones usuàries que rebem a través de les xarxes socials.</t>
  </si>
  <si>
    <t>Dispositius (usuaris/es)</t>
  </si>
  <si>
    <t>Dispositius amb els quals s'accedeix al portal: ordinador, mòbil o tauleta.</t>
  </si>
  <si>
    <t>Navegador més utilitzat</t>
  </si>
  <si>
    <t>Nom del navegador més utilitzat amb el qual s’accedeix al portal. Per exemple: Chrome, Firefox, Safari, Internet Explorer, etc.</t>
  </si>
  <si>
    <t>Glosario</t>
  </si>
  <si>
    <t>Sesiones</t>
  </si>
  <si>
    <t>Periodo de tiempo en el que un usuario está activo en el sitio web. De manera predeterminada, si un usuario está inactivo durante 30 minutos o más, cualquier actividad futura que realice se atribuirá a una sesión nueva.</t>
  </si>
  <si>
    <t>Usuarios/as</t>
  </si>
  <si>
    <t>Hace referencia a un navegador específico. Una persona que accede con distintos navegadores o métodos de acceso (ordenador, tableta táctil o móvil) no se considerará el mismo usuario.</t>
  </si>
  <si>
    <t xml:space="preserve">Número de visitas a páginas </t>
  </si>
  <si>
    <t>Número total de páginas vistas; las visitas repetidas a una misma página también se contabilizan</t>
  </si>
  <si>
    <t>Páginas vistas por sesión</t>
  </si>
  <si>
    <t>Duración media por sesión</t>
  </si>
  <si>
    <t>Tiempo medio de una sesión.</t>
  </si>
  <si>
    <t>Porcentaje %  de Rebote</t>
  </si>
  <si>
    <t>Porcentaje de visitas que se realizan a una sola página de nuestro sitio web antes de salir de éste.</t>
  </si>
  <si>
    <t>Usuarios/as nuevos/as</t>
  </si>
  <si>
    <t>Número de usuarios/as nuevos/as de nuestro sitio web durante el periodo seleccionado.</t>
  </si>
  <si>
    <t>Día con más sesiones</t>
  </si>
  <si>
    <t xml:space="preserve">Día con más sesiones durante el periodo seleccionado.
Los datos anteriores al año 2020 corresponden al día con más visitas de usuarios. </t>
  </si>
  <si>
    <t>Número de sesiones del día con más sesiones</t>
  </si>
  <si>
    <t xml:space="preserve">Número de sesiones del día con más sesiones durante el periodo seleccionado.
Los datos anteriores al año 2020 corresponden al día con más visitas de usuarios. </t>
  </si>
  <si>
    <t>Ciudades con más visitas</t>
  </si>
  <si>
    <t>Lista de las cinco ciudades de origen con más visitas durante el periodo seleccionado.</t>
  </si>
  <si>
    <t>Tráfico orgánico</t>
  </si>
  <si>
    <t>Personas usuarias que llegan a la web a través de buscadores.</t>
  </si>
  <si>
    <t>Tráfico referido</t>
  </si>
  <si>
    <t>Personas usuarias que llegan a través de una fuente o enlaces en otros sitios web.</t>
  </si>
  <si>
    <t>Tráfico directo</t>
  </si>
  <si>
    <t>Personas usuarias que entran al introducir la URL de nuestro sitio web.</t>
  </si>
  <si>
    <t>Tráfico social</t>
  </si>
  <si>
    <t>Personas usuarias que recibimos a través de las redes sociales.</t>
  </si>
  <si>
    <t>Dispositivos</t>
  </si>
  <si>
    <t>Dispositivos con los que se accede al portal: ordenador, móvil o tableta.</t>
  </si>
  <si>
    <t>Navegador más utilizado</t>
  </si>
  <si>
    <t xml:space="preserve">Nombre del navegador más utilizado con el que se accede al portal. Por ejemplo: Chrome, Firefox, Safari, Internet Explorer, etc. </t>
  </si>
  <si>
    <r>
      <rPr>
        <b/>
        <sz val="28"/>
        <color rgb="FFFFFFFF"/>
        <rFont val="Calibri"/>
        <family val="2"/>
      </rPr>
      <t xml:space="preserve">Portal de Dades Obertes de la Generalitat
Gràfics de les principals mètriques d’ús web del portal / </t>
    </r>
    <r>
      <rPr>
        <b/>
        <i/>
        <sz val="28"/>
        <color rgb="FFFFFFFF"/>
        <rFont val="Calibri"/>
        <family val="2"/>
      </rPr>
      <t>Gráficos de las principales métricas de uso web del portal</t>
    </r>
  </si>
  <si>
    <t>2016***</t>
  </si>
  <si>
    <t xml:space="preserve">Chrome </t>
  </si>
  <si>
    <t>Android Webview</t>
  </si>
  <si>
    <t>Edge</t>
  </si>
  <si>
    <t>Pytyhon-urllib</t>
  </si>
  <si>
    <t>2022</t>
  </si>
  <si>
    <t>2023</t>
  </si>
  <si>
    <r>
      <t xml:space="preserve">Ordinador
</t>
    </r>
    <r>
      <rPr>
        <b/>
        <sz val="16"/>
        <rFont val="Calibri"/>
        <family val="2"/>
      </rPr>
      <t>Ordenador</t>
    </r>
  </si>
  <si>
    <r>
      <t xml:space="preserve">Mètriques Google Analytics 2023 del Portal de Dades Obertes de la Generalitat
</t>
    </r>
    <r>
      <rPr>
        <b/>
        <i/>
        <sz val="28"/>
        <color rgb="FFFFFFFF"/>
        <rFont val="Calibri"/>
        <family val="2"/>
      </rPr>
      <t>Métricas Google Analytics 2023 del Portal de Dades Obertes de la Generalitat</t>
    </r>
  </si>
  <si>
    <t>Catèleg de dades</t>
  </si>
  <si>
    <t>VALENCIA</t>
  </si>
  <si>
    <t>MADRID</t>
  </si>
  <si>
    <t>BARCELONA</t>
  </si>
  <si>
    <t xml:space="preserve">Barcelona </t>
  </si>
  <si>
    <t>Castellón de la Plana</t>
  </si>
  <si>
    <t>23</t>
  </si>
  <si>
    <t>Que es fa amb les dades obertes</t>
  </si>
  <si>
    <t>Novetats i noticies</t>
  </si>
  <si>
    <t>Estadístiques del portal</t>
  </si>
  <si>
    <t>14/06/2023  28/06/2023</t>
  </si>
  <si>
    <t>1103</t>
  </si>
  <si>
    <t>Inici</t>
  </si>
  <si>
    <t>Visualització de dades</t>
  </si>
  <si>
    <t>Dades oberrtes en la Comunitat Valenciana</t>
  </si>
  <si>
    <t>Novetat/publicació conjunt de dades del registre de contractes</t>
  </si>
  <si>
    <t>Visualització de dades COVID-19</t>
  </si>
  <si>
    <t>Dataset</t>
  </si>
  <si>
    <t>Dataset departaments de salut</t>
  </si>
  <si>
    <t>Dataset precio del alquiler privado en la C.V.</t>
  </si>
  <si>
    <t>Dades obertes en la Comunitat Valenciana</t>
  </si>
  <si>
    <t>Dataset zonas húmedas del sur de Alicante</t>
  </si>
  <si>
    <t>22</t>
  </si>
  <si>
    <t>2</t>
  </si>
  <si>
    <t>20</t>
  </si>
  <si>
    <t>40</t>
  </si>
  <si>
    <t>16</t>
  </si>
  <si>
    <t>Valencia</t>
  </si>
  <si>
    <t>21</t>
  </si>
  <si>
    <t>Dataset sanidad-sip</t>
  </si>
  <si>
    <t>Direcció General de Transparència i Participació. Presidència de la Generalitat</t>
  </si>
  <si>
    <t>Dirección General de Transparencia y Participación. Presidencia de la Generalitat</t>
  </si>
  <si>
    <t>Direcció General de Transparència y Participació. Presidència de la Generalitat</t>
  </si>
  <si>
    <t>Data d’actualització: 02/11/2023</t>
  </si>
  <si>
    <r>
      <t xml:space="preserve">Fecha de actualización: </t>
    </r>
    <r>
      <rPr>
        <sz val="11"/>
        <rFont val="Calibri"/>
        <family val="1"/>
      </rPr>
      <t>02/11/2023</t>
    </r>
  </si>
  <si>
    <t>Fecha de actualización: 02/11/2023</t>
  </si>
  <si>
    <r>
      <t xml:space="preserve">* </t>
    </r>
    <r>
      <rPr>
        <i/>
        <sz val="11"/>
        <rFont val="Calibri"/>
        <family val="2"/>
      </rPr>
      <t>Google Analytics no ha podido identificar la ciudad</t>
    </r>
  </si>
  <si>
    <t>Dataset preu del lloguer privat en la C.V.</t>
  </si>
  <si>
    <t>Dataset zones humides del sud d'Alacant</t>
  </si>
  <si>
    <t>2024</t>
  </si>
  <si>
    <r>
      <t xml:space="preserve">Mètriques Google Analytics 2024 del Portal de Dades Obertes de la Generalitat
</t>
    </r>
    <r>
      <rPr>
        <b/>
        <i/>
        <sz val="28"/>
        <color rgb="FFFFFFFF"/>
        <rFont val="Calibri"/>
        <family val="2"/>
      </rPr>
      <t>Métricas Google Analytics 2024 del Portal de Dades Obertes de la Generalitat</t>
    </r>
  </si>
  <si>
    <t>Visualització dades covid</t>
  </si>
  <si>
    <t>Dataset sanitat departaments de salut</t>
  </si>
  <si>
    <t>4</t>
  </si>
  <si>
    <t>18</t>
  </si>
  <si>
    <t>Novetats i notícies</t>
  </si>
  <si>
    <t>6450</t>
  </si>
  <si>
    <t>2566</t>
  </si>
  <si>
    <t>Visualitzacions COVID</t>
  </si>
  <si>
    <t>Dataset sanidad sip de departamentos salud</t>
  </si>
  <si>
    <t>Estadístiques portal</t>
  </si>
  <si>
    <r>
      <t xml:space="preserve">Mètriques Google Analytics 2016-2024 del Portal de Dades Obertes de la Generalitat
</t>
    </r>
    <r>
      <rPr>
        <b/>
        <i/>
        <sz val="28"/>
        <color rgb="FFFFFFFF"/>
        <rFont val="Calibri"/>
        <family val="2"/>
      </rPr>
      <t>Métricas Google Analytics 2016-2024 del Portal de Dades Obertes de la Generalitat</t>
    </r>
  </si>
  <si>
    <t>Dataset/soc-agecop</t>
  </si>
  <si>
    <t>Dataset/sanitat-sip</t>
  </si>
  <si>
    <t>143</t>
  </si>
  <si>
    <t>Novetats i noticies/encuento-sobre-el futuro de los datos abiertos</t>
  </si>
  <si>
    <t>Dataset/ precio del alquiler privado en la Comunitat Valencian</t>
  </si>
  <si>
    <t>Dataset/ eco-gva-subv-2024</t>
  </si>
  <si>
    <t>Visualitzacions covid</t>
  </si>
  <si>
    <t xml:space="preserve">Novetat i noticies </t>
  </si>
  <si>
    <t>Elche</t>
  </si>
  <si>
    <t>2565</t>
  </si>
  <si>
    <t>885</t>
  </si>
  <si>
    <t>578</t>
  </si>
  <si>
    <t>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</si>
</sst>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hh:mm:ss"/>
    <numFmt numFmtId="166" formatCode="0.00\ %"/>
    <numFmt numFmtId="167" formatCode="#,###"/>
  </numFmts>
  <fonts count="61" x14ac:knownFonts="1">
    <font>
      <sz val="11"/>
      <color rgb="FF000000"/>
      <name val="Calibri"/>
      <family val="2"/>
    </font>
    <font>
      <sz val="10"/>
      <name val="Arial"/>
    </font>
    <font>
      <b/>
      <i/>
      <u/>
      <sz val="11"/>
      <color rgb="FF000000"/>
      <name val="Calibri"/>
      <family val="2"/>
    </font>
    <font>
      <sz val="12"/>
      <name val="Calibri"/>
      <family val="1"/>
    </font>
    <font>
      <sz val="14"/>
      <name val="Arial"/>
    </font>
    <font>
      <b/>
      <sz val="28"/>
      <color rgb="FFFFFFFF"/>
      <name val="Calibri"/>
      <family val="2"/>
    </font>
    <font>
      <b/>
      <i/>
      <sz val="28"/>
      <color rgb="FFFFFFFF"/>
      <name val="Calibri"/>
      <family val="2"/>
    </font>
    <font>
      <b/>
      <sz val="14"/>
      <name val="Calibri"/>
      <family val="2"/>
    </font>
    <font>
      <b/>
      <sz val="18"/>
      <color rgb="FF068B90"/>
      <name val="Calibri"/>
      <family val="2"/>
    </font>
    <font>
      <b/>
      <sz val="18"/>
      <color rgb="FF111111"/>
      <name val="Calibri"/>
      <family val="2"/>
    </font>
    <font>
      <b/>
      <sz val="20"/>
      <color rgb="FFFFFFFF"/>
      <name val="Calibri"/>
      <family val="2"/>
    </font>
    <font>
      <sz val="14"/>
      <color rgb="FFFFFFFF"/>
      <name val="Calibri"/>
      <family val="2"/>
    </font>
    <font>
      <b/>
      <i/>
      <sz val="14"/>
      <color rgb="FF111111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b/>
      <sz val="14"/>
      <color rgb="FF111111"/>
      <name val="Calibri"/>
      <family val="2"/>
    </font>
    <font>
      <b/>
      <i/>
      <sz val="20"/>
      <color rgb="FFFFFFFF"/>
      <name val="Calibri"/>
      <family val="2"/>
    </font>
    <font>
      <b/>
      <sz val="16"/>
      <color rgb="FF068B90"/>
      <name val="Calibri"/>
      <family val="2"/>
    </font>
    <font>
      <b/>
      <sz val="14"/>
      <color rgb="FF000000"/>
      <name val="Calibri"/>
      <family val="2"/>
    </font>
    <font>
      <b/>
      <i/>
      <sz val="19"/>
      <color rgb="FFFFFFFF"/>
      <name val="Calibri"/>
      <family val="2"/>
    </font>
    <font>
      <b/>
      <i/>
      <sz val="16"/>
      <name val="Calibri"/>
      <family val="2"/>
    </font>
    <font>
      <b/>
      <i/>
      <sz val="16"/>
      <color rgb="FF1B1B1B"/>
      <name val="Calibri"/>
      <family val="2"/>
    </font>
    <font>
      <sz val="14"/>
      <color rgb="FF1B1B1B"/>
      <name val="Calibri"/>
      <family val="2"/>
    </font>
    <font>
      <b/>
      <i/>
      <sz val="16"/>
      <color rgb="FF33333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name val="Calibri"/>
      <family val="1"/>
    </font>
    <font>
      <sz val="11"/>
      <name val="Calibri"/>
      <family val="1"/>
    </font>
    <font>
      <sz val="11"/>
      <color rgb="FF333333"/>
      <name val="Calibri"/>
      <family val="2"/>
    </font>
    <font>
      <sz val="11"/>
      <name val="Arial"/>
    </font>
    <font>
      <sz val="10"/>
      <name val="Calibri"/>
      <family val="2"/>
    </font>
    <font>
      <b/>
      <sz val="14"/>
      <color rgb="FF111111"/>
      <name val="Calibri"/>
    </font>
    <font>
      <b/>
      <i/>
      <sz val="14"/>
      <color rgb="FF111111"/>
      <name val="Calibri"/>
    </font>
    <font>
      <sz val="13"/>
      <name val="Arial"/>
    </font>
    <font>
      <i/>
      <sz val="14"/>
      <name val="Calibri"/>
      <family val="2"/>
    </font>
    <font>
      <sz val="14"/>
      <color rgb="FF000000"/>
      <name val="Calibri"/>
      <family val="2"/>
    </font>
    <font>
      <b/>
      <sz val="10"/>
      <name val="Arial"/>
    </font>
    <font>
      <b/>
      <sz val="20"/>
      <color rgb="FF004A51"/>
      <name val="Calibri"/>
    </font>
    <font>
      <b/>
      <sz val="20"/>
      <color rgb="FF004A51"/>
      <name val="Calibri"/>
      <family val="2"/>
    </font>
    <font>
      <b/>
      <sz val="14"/>
      <color rgb="FFFFFFFF"/>
      <name val="Calibri"/>
      <family val="2"/>
    </font>
    <font>
      <b/>
      <sz val="16"/>
      <name val="Calibri"/>
      <family val="2"/>
    </font>
    <font>
      <b/>
      <i/>
      <sz val="16"/>
      <color rgb="FF111111"/>
      <name val="Calibri"/>
      <family val="2"/>
    </font>
    <font>
      <b/>
      <sz val="16"/>
      <color rgb="FF111111"/>
      <name val="Calibri"/>
      <family val="2"/>
    </font>
    <font>
      <b/>
      <sz val="15"/>
      <name val="Calibri"/>
      <family val="2"/>
    </font>
    <font>
      <b/>
      <i/>
      <sz val="15"/>
      <name val="Calibri"/>
      <family val="2"/>
    </font>
    <font>
      <b/>
      <sz val="15"/>
      <color rgb="FF111111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b/>
      <sz val="24"/>
      <color rgb="FFFFFFFF"/>
      <name val="Calibri"/>
      <family val="2"/>
    </font>
    <font>
      <sz val="20"/>
      <color rgb="FF000000"/>
      <name val="Calibri"/>
      <family val="2"/>
    </font>
    <font>
      <sz val="13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b/>
      <sz val="11"/>
      <color rgb="FF1B1B1B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068B90"/>
        <bgColor rgb="FF006B6B"/>
      </patternFill>
    </fill>
    <fill>
      <patternFill patternType="solid">
        <fgColor rgb="FFE7E7E7"/>
        <bgColor rgb="FFDEE7E5"/>
      </patternFill>
    </fill>
    <fill>
      <patternFill patternType="solid">
        <fgColor rgb="FFEEEEEE"/>
        <bgColor rgb="FFE7E7E7"/>
      </patternFill>
    </fill>
    <fill>
      <patternFill patternType="solid">
        <fgColor rgb="FFF5DDD9"/>
        <bgColor rgb="FFE7E7E7"/>
      </patternFill>
    </fill>
    <fill>
      <patternFill patternType="solid">
        <fgColor rgb="FFDEE7E5"/>
        <bgColor rgb="FFE7E7E7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n">
        <color rgb="FF068B90"/>
      </right>
      <top style="thick">
        <color rgb="FF068B90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/>
      <top style="thick">
        <color rgb="FF068B90"/>
      </top>
      <bottom style="thick">
        <color rgb="FF068B90"/>
      </bottom>
      <diagonal/>
    </border>
    <border>
      <left/>
      <right/>
      <top style="thick">
        <color rgb="FF068B90"/>
      </top>
      <bottom style="thick">
        <color rgb="FF068B90"/>
      </bottom>
      <diagonal/>
    </border>
    <border>
      <left/>
      <right style="thick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 style="thick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ck">
        <color rgb="FF068B90"/>
      </right>
      <top style="thin">
        <color rgb="FF068B90"/>
      </top>
      <bottom style="dotted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 style="dotted">
        <color rgb="FF068B90"/>
      </bottom>
      <diagonal/>
    </border>
    <border>
      <left style="thick">
        <color rgb="FF068B90"/>
      </left>
      <right style="thick">
        <color rgb="FF068B90"/>
      </right>
      <top style="dashed">
        <color rgb="FF068B90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dashed">
        <color rgb="FF068B90"/>
      </top>
      <bottom style="thick">
        <color rgb="FF068B90"/>
      </bottom>
      <diagonal/>
    </border>
    <border>
      <left style="thin">
        <color rgb="FF068B90"/>
      </left>
      <right style="thick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ck">
        <color rgb="FF068B90"/>
      </right>
      <top style="dashed">
        <color rgb="FF068B90"/>
      </top>
      <bottom style="thin">
        <color rgb="FF068B90"/>
      </bottom>
      <diagonal/>
    </border>
    <border>
      <left style="thin">
        <color rgb="FF068B90"/>
      </left>
      <right style="thick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 style="thick">
        <color rgb="FF068B90"/>
      </bottom>
      <diagonal/>
    </border>
    <border>
      <left style="thick">
        <color rgb="FF068B90"/>
      </left>
      <right style="thick">
        <color rgb="FF068B90"/>
      </right>
      <top style="thin">
        <color rgb="FF068B90"/>
      </top>
      <bottom style="thick">
        <color rgb="FF068B90"/>
      </bottom>
      <diagonal/>
    </border>
    <border>
      <left style="thin">
        <color rgb="FF068B90"/>
      </left>
      <right style="thick">
        <color rgb="FF068B90"/>
      </right>
      <top style="thin">
        <color rgb="FF068B90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hair">
        <color auto="1"/>
      </top>
      <bottom style="thin">
        <color rgb="FF068B90"/>
      </bottom>
      <diagonal/>
    </border>
    <border>
      <left style="thick">
        <color rgb="FF068B90"/>
      </left>
      <right style="thin">
        <color rgb="FF068B90"/>
      </right>
      <top style="thick">
        <color rgb="FF068B90"/>
      </top>
      <bottom style="thin">
        <color rgb="FF068B90"/>
      </bottom>
      <diagonal/>
    </border>
    <border>
      <left style="thick">
        <color rgb="FF068B90"/>
      </left>
      <right style="thin">
        <color rgb="FF068B90"/>
      </right>
      <top style="thin">
        <color rgb="FF068B90"/>
      </top>
      <bottom style="thick">
        <color rgb="FF068B90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5E9B82"/>
      </top>
      <bottom/>
      <diagonal/>
    </border>
    <border>
      <left/>
      <right/>
      <top/>
      <bottom style="hair">
        <color auto="1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 style="thin">
        <color auto="1"/>
      </bottom>
      <diagonal/>
    </border>
    <border>
      <left style="thin">
        <color rgb="FF068B90"/>
      </left>
      <right style="thin">
        <color rgb="FF068B90"/>
      </right>
      <top style="thick">
        <color rgb="FF068B90"/>
      </top>
      <bottom style="hair">
        <color auto="1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medium">
        <color rgb="FF068B90"/>
      </bottom>
      <diagonal/>
    </border>
    <border>
      <left style="thick">
        <color rgb="FF068B90"/>
      </left>
      <right style="thick">
        <color rgb="FF068B90"/>
      </right>
      <top style="medium">
        <color rgb="FF068B90"/>
      </top>
      <bottom style="thick">
        <color rgb="FF068B90"/>
      </bottom>
      <diagonal/>
    </border>
    <border>
      <left style="thick">
        <color rgb="FF068B90"/>
      </left>
      <right style="thick">
        <color rgb="FF068B90"/>
      </right>
      <top style="hair">
        <color auto="1"/>
      </top>
      <bottom style="thin">
        <color rgb="FF068B90"/>
      </bottom>
      <diagonal/>
    </border>
    <border>
      <left style="thick">
        <color rgb="FF068B90"/>
      </left>
      <right style="thin">
        <color rgb="FF068B90"/>
      </right>
      <top style="thin">
        <color rgb="FF068B90"/>
      </top>
      <bottom style="thin">
        <color rgb="FF068B90"/>
      </bottom>
      <diagonal/>
    </border>
    <border>
      <left/>
      <right/>
      <top style="thick">
        <color rgb="FF068B90"/>
      </top>
      <bottom style="thin">
        <color rgb="FF068B90"/>
      </bottom>
      <diagonal/>
    </border>
    <border>
      <left/>
      <right/>
      <top style="thin">
        <color rgb="FF068B90"/>
      </top>
      <bottom style="thin">
        <color rgb="FF068B90"/>
      </bottom>
      <diagonal/>
    </border>
    <border>
      <left/>
      <right style="thick">
        <color rgb="FF068B90"/>
      </right>
      <top style="dashed">
        <color rgb="FF068B90"/>
      </top>
      <bottom style="thin">
        <color rgb="FF068B90"/>
      </bottom>
      <diagonal/>
    </border>
    <border>
      <left/>
      <right style="thick">
        <color rgb="FF068B90"/>
      </right>
      <top style="thin">
        <color rgb="FF068B90"/>
      </top>
      <bottom style="thick">
        <color rgb="FF068B90"/>
      </bottom>
      <diagonal/>
    </border>
    <border>
      <left style="thick">
        <color rgb="FF068B90"/>
      </left>
      <right/>
      <top style="thick">
        <color rgb="FF068B90"/>
      </top>
      <bottom/>
      <diagonal/>
    </border>
    <border>
      <left/>
      <right/>
      <top/>
      <bottom style="thick">
        <color rgb="FF068B90"/>
      </bottom>
      <diagonal/>
    </border>
    <border>
      <left style="thin">
        <color rgb="FF068B90"/>
      </left>
      <right/>
      <top style="thin">
        <color rgb="FF068B90"/>
      </top>
      <bottom style="thin">
        <color rgb="FF068B90"/>
      </bottom>
      <diagonal/>
    </border>
    <border>
      <left style="thick">
        <color rgb="FF068B90"/>
      </left>
      <right style="thick">
        <color rgb="FF068B90"/>
      </right>
      <top style="thick">
        <color rgb="FF068B90"/>
      </top>
      <bottom/>
      <diagonal/>
    </border>
    <border>
      <left style="thin">
        <color rgb="FF068B90"/>
      </left>
      <right style="thin">
        <color rgb="FF068B90"/>
      </right>
      <top style="thick">
        <color rgb="FF068B90"/>
      </top>
      <bottom/>
      <diagonal/>
    </border>
    <border>
      <left style="thin">
        <color rgb="FF068B90"/>
      </left>
      <right style="thin">
        <color rgb="FF068B90"/>
      </right>
      <top/>
      <bottom style="thin">
        <color rgb="FF068B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68B90"/>
      </left>
      <right style="thin">
        <color rgb="FF068B90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rgb="FF068B90"/>
      </bottom>
      <diagonal/>
    </border>
    <border>
      <left style="thin">
        <color rgb="FF068B90"/>
      </left>
      <right style="thick">
        <color rgb="FF068B90"/>
      </right>
      <top style="thick">
        <color rgb="FF068B90"/>
      </top>
      <bottom/>
      <diagonal/>
    </border>
    <border>
      <left style="thin">
        <color rgb="FF068B90"/>
      </left>
      <right style="thin">
        <color rgb="FF068B90"/>
      </right>
      <top style="thin">
        <color indexed="64"/>
      </top>
      <bottom style="thick">
        <color rgb="FF068B90"/>
      </bottom>
      <diagonal/>
    </border>
    <border>
      <left style="thin">
        <color rgb="FF068B90"/>
      </left>
      <right style="thick">
        <color rgb="FF068B90"/>
      </right>
      <top style="thin">
        <color indexed="64"/>
      </top>
      <bottom style="thick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rgb="FF068B90"/>
      </top>
      <bottom/>
      <diagonal/>
    </border>
    <border>
      <left style="thin">
        <color rgb="FF068B90"/>
      </left>
      <right style="thick">
        <color rgb="FF068B90"/>
      </right>
      <top style="thin">
        <color rgb="FF068B90"/>
      </top>
      <bottom/>
      <diagonal/>
    </border>
    <border>
      <left style="thick">
        <color rgb="FF068B90"/>
      </left>
      <right style="thick">
        <color rgb="FF068B90"/>
      </right>
      <top style="thin">
        <color rgb="FF068B90"/>
      </top>
      <bottom/>
      <diagonal/>
    </border>
    <border>
      <left/>
      <right/>
      <top style="thick">
        <color rgb="FF068B90"/>
      </top>
      <bottom/>
      <diagonal/>
    </border>
    <border>
      <left/>
      <right/>
      <top/>
      <bottom style="thin">
        <color rgb="FF068B90"/>
      </bottom>
      <diagonal/>
    </border>
    <border>
      <left/>
      <right/>
      <top style="thin">
        <color rgb="FF068B90"/>
      </top>
      <bottom style="dotted">
        <color rgb="FF068B90"/>
      </bottom>
      <diagonal/>
    </border>
    <border>
      <left style="thin">
        <color rgb="FF068B90"/>
      </left>
      <right/>
      <top style="thick">
        <color rgb="FF068B90"/>
      </top>
      <bottom style="thin">
        <color rgb="FF068B90"/>
      </bottom>
      <diagonal/>
    </border>
    <border>
      <left style="thin">
        <color rgb="FF068B90"/>
      </left>
      <right/>
      <top style="thin">
        <color rgb="FF068B90"/>
      </top>
      <bottom style="thick">
        <color rgb="FF068B90"/>
      </bottom>
      <diagonal/>
    </border>
    <border>
      <left style="thin">
        <color rgb="FF068B90"/>
      </left>
      <right style="thick">
        <color rgb="FF068B90"/>
      </right>
      <top style="thick">
        <color rgb="FF009999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ck">
        <color rgb="FF009999"/>
      </top>
      <bottom style="thin">
        <color rgb="FF068B90"/>
      </bottom>
      <diagonal/>
    </border>
    <border>
      <left style="thin">
        <color rgb="FF068B90"/>
      </left>
      <right style="thin">
        <color rgb="FF068B90"/>
      </right>
      <top style="thin">
        <color indexed="64"/>
      </top>
      <bottom/>
      <diagonal/>
    </border>
    <border>
      <left style="thin">
        <color rgb="FF068B90"/>
      </left>
      <right style="thin">
        <color rgb="FF068B90"/>
      </right>
      <top style="thin">
        <color indexed="64"/>
      </top>
      <bottom style="thick">
        <color rgb="FF009999"/>
      </bottom>
      <diagonal/>
    </border>
    <border>
      <left style="thin">
        <color rgb="FF009999"/>
      </left>
      <right style="thick">
        <color rgb="FF068B90"/>
      </right>
      <top style="thin">
        <color rgb="FF068B90"/>
      </top>
      <bottom style="thin">
        <color rgb="FF068B90"/>
      </bottom>
      <diagonal/>
    </border>
    <border>
      <left style="thin">
        <color rgb="FF009999"/>
      </left>
      <right style="thick">
        <color rgb="FF068B90"/>
      </right>
      <top style="thick">
        <color rgb="FF068B90"/>
      </top>
      <bottom style="thin">
        <color rgb="FF068B90"/>
      </bottom>
      <diagonal/>
    </border>
    <border>
      <left style="medium">
        <color rgb="FF009999"/>
      </left>
      <right style="thin">
        <color rgb="FF068B90"/>
      </right>
      <top style="thick">
        <color rgb="FF068B90"/>
      </top>
      <bottom style="thin">
        <color rgb="FF068B90"/>
      </bottom>
      <diagonal/>
    </border>
    <border>
      <left style="medium">
        <color rgb="FF009999"/>
      </left>
      <right style="thin">
        <color rgb="FF068B90"/>
      </right>
      <top style="thin">
        <color rgb="FF068B90"/>
      </top>
      <bottom style="thick">
        <color rgb="FF068B90"/>
      </bottom>
      <diagonal/>
    </border>
    <border>
      <left style="thin">
        <color rgb="FF068B90"/>
      </left>
      <right style="medium">
        <color rgb="FF009999"/>
      </right>
      <top style="thin">
        <color rgb="FF068B90"/>
      </top>
      <bottom style="thick">
        <color rgb="FF068B90"/>
      </bottom>
      <diagonal/>
    </border>
  </borders>
  <cellStyleXfs count="4">
    <xf numFmtId="0" fontId="0" fillId="0" borderId="0"/>
    <xf numFmtId="164" fontId="2" fillId="0" borderId="0" applyBorder="0" applyProtection="0"/>
    <xf numFmtId="0" fontId="3" fillId="0" borderId="0"/>
    <xf numFmtId="9" fontId="56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3" fillId="5" borderId="10" xfId="0" applyNumberFormat="1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4" fontId="13" fillId="5" borderId="10" xfId="0" applyNumberFormat="1" applyFont="1" applyFill="1" applyBorder="1" applyAlignment="1">
      <alignment horizontal="center" vertical="center" wrapText="1"/>
    </xf>
    <xf numFmtId="2" fontId="13" fillId="5" borderId="10" xfId="0" applyNumberFormat="1" applyFont="1" applyFill="1" applyBorder="1" applyAlignment="1">
      <alignment horizontal="center"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13" fillId="2" borderId="10" xfId="0" applyNumberFormat="1" applyFont="1" applyFill="1" applyBorder="1" applyAlignment="1">
      <alignment horizontal="center" vertical="center" wrapText="1"/>
    </xf>
    <xf numFmtId="166" fontId="13" fillId="5" borderId="10" xfId="0" applyNumberFormat="1" applyFont="1" applyFill="1" applyBorder="1" applyAlignment="1">
      <alignment horizontal="center" vertical="center" wrapText="1"/>
    </xf>
    <xf numFmtId="10" fontId="13" fillId="5" borderId="10" xfId="0" applyNumberFormat="1" applyFont="1" applyFill="1" applyBorder="1" applyAlignment="1">
      <alignment horizontal="center" vertical="center" wrapText="1"/>
    </xf>
    <xf numFmtId="10" fontId="7" fillId="4" borderId="9" xfId="0" applyNumberFormat="1" applyFont="1" applyFill="1" applyBorder="1" applyAlignment="1">
      <alignment horizontal="center" vertical="center" wrapText="1"/>
    </xf>
    <xf numFmtId="166" fontId="13" fillId="2" borderId="10" xfId="0" applyNumberFormat="1" applyFont="1" applyFill="1" applyBorder="1" applyAlignment="1">
      <alignment horizontal="center" vertical="center" wrapText="1"/>
    </xf>
    <xf numFmtId="10" fontId="13" fillId="2" borderId="10" xfId="0" applyNumberFormat="1" applyFont="1" applyFill="1" applyBorder="1" applyAlignment="1">
      <alignment horizontal="center" vertical="center" wrapText="1"/>
    </xf>
    <xf numFmtId="14" fontId="13" fillId="5" borderId="13" xfId="0" applyNumberFormat="1" applyFont="1" applyFill="1" applyBorder="1" applyAlignment="1">
      <alignment horizontal="center" vertical="center" wrapText="1"/>
    </xf>
    <xf numFmtId="14" fontId="7" fillId="4" borderId="12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14" fontId="13" fillId="2" borderId="13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38" fontId="13" fillId="2" borderId="15" xfId="0" applyNumberFormat="1" applyFont="1" applyFill="1" applyBorder="1" applyAlignment="1">
      <alignment horizontal="center" vertical="center" wrapText="1"/>
    </xf>
    <xf numFmtId="38" fontId="7" fillId="4" borderId="14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" borderId="11" xfId="0" applyNumberFormat="1" applyFont="1" applyFill="1" applyBorder="1" applyAlignment="1">
      <alignment horizontal="center" vertical="center" wrapText="1"/>
    </xf>
    <xf numFmtId="38" fontId="18" fillId="4" borderId="17" xfId="0" applyNumberFormat="1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38" fontId="7" fillId="4" borderId="20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38" fontId="7" fillId="4" borderId="17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2" borderId="22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7" fontId="13" fillId="2" borderId="10" xfId="0" applyNumberFormat="1" applyFont="1" applyFill="1" applyBorder="1" applyAlignment="1">
      <alignment horizontal="center" vertical="center" wrapText="1"/>
    </xf>
    <xf numFmtId="167" fontId="13" fillId="2" borderId="11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6" fontId="13" fillId="4" borderId="9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49" fontId="22" fillId="2" borderId="19" xfId="0" applyNumberFormat="1" applyFont="1" applyFill="1" applyBorder="1" applyAlignment="1">
      <alignment horizontal="center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166" fontId="13" fillId="4" borderId="2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7" fontId="13" fillId="4" borderId="9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" fontId="13" fillId="2" borderId="25" xfId="0" applyNumberFormat="1" applyFont="1" applyFill="1" applyBorder="1" applyAlignment="1">
      <alignment horizontal="left" vertical="center" wrapText="1"/>
    </xf>
    <xf numFmtId="1" fontId="13" fillId="2" borderId="25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24" fillId="2" borderId="25" xfId="0" applyNumberFormat="1" applyFont="1" applyFill="1" applyBorder="1" applyAlignment="1">
      <alignment horizontal="left" vertical="center" wrapText="1"/>
    </xf>
    <xf numFmtId="1" fontId="24" fillId="2" borderId="25" xfId="0" applyNumberFormat="1" applyFont="1" applyFill="1" applyBorder="1" applyAlignment="1">
      <alignment horizontal="center" vertical="center" wrapText="1"/>
    </xf>
    <xf numFmtId="0" fontId="24" fillId="0" borderId="0" xfId="0" applyFont="1" applyAlignment="1"/>
    <xf numFmtId="1" fontId="25" fillId="2" borderId="25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/>
    <xf numFmtId="0" fontId="28" fillId="2" borderId="0" xfId="0" applyFont="1" applyFill="1" applyBorder="1" applyAlignment="1"/>
    <xf numFmtId="1" fontId="24" fillId="2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Alignment="1"/>
    <xf numFmtId="0" fontId="24" fillId="0" borderId="0" xfId="0" applyFont="1" applyAlignment="1">
      <alignment vertical="top"/>
    </xf>
    <xf numFmtId="1" fontId="28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26" xfId="0" applyFont="1" applyBorder="1" applyAlignment="1"/>
    <xf numFmtId="0" fontId="0" fillId="0" borderId="26" xfId="0" applyFont="1" applyBorder="1"/>
    <xf numFmtId="166" fontId="1" fillId="0" borderId="0" xfId="0" applyNumberFormat="1" applyFont="1" applyAlignment="1"/>
    <xf numFmtId="0" fontId="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10" fontId="30" fillId="0" borderId="0" xfId="0" applyNumberFormat="1" applyFont="1" applyAlignment="1">
      <alignment wrapText="1"/>
    </xf>
    <xf numFmtId="3" fontId="13" fillId="0" borderId="27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" vertical="center" wrapText="1"/>
    </xf>
    <xf numFmtId="167" fontId="13" fillId="0" borderId="29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38" fontId="13" fillId="0" borderId="15" xfId="0" applyNumberFormat="1" applyFont="1" applyBorder="1" applyAlignment="1">
      <alignment horizontal="center" vertical="center" wrapText="1"/>
    </xf>
    <xf numFmtId="49" fontId="18" fillId="4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167" fontId="22" fillId="2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1" fontId="34" fillId="2" borderId="25" xfId="0" applyNumberFormat="1" applyFont="1" applyFill="1" applyBorder="1" applyAlignment="1">
      <alignment horizontal="left" vertical="center" wrapText="1"/>
    </xf>
    <xf numFmtId="49" fontId="34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top" wrapText="1"/>
    </xf>
    <xf numFmtId="49" fontId="34" fillId="2" borderId="0" xfId="0" applyNumberFormat="1" applyFont="1" applyFill="1" applyBorder="1" applyAlignment="1">
      <alignment vertical="top" wrapText="1"/>
    </xf>
    <xf numFmtId="0" fontId="34" fillId="0" borderId="0" xfId="0" applyFont="1" applyAlignment="1"/>
    <xf numFmtId="0" fontId="13" fillId="0" borderId="0" xfId="0" applyFont="1" applyAlignment="1"/>
    <xf numFmtId="0" fontId="35" fillId="0" borderId="0" xfId="0" applyFont="1"/>
    <xf numFmtId="0" fontId="13" fillId="0" borderId="0" xfId="0" applyFont="1" applyAlignment="1"/>
    <xf numFmtId="0" fontId="24" fillId="0" borderId="0" xfId="0" applyFont="1" applyAlignment="1"/>
    <xf numFmtId="0" fontId="13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1" fillId="0" borderId="0" xfId="0" applyFont="1" applyAlignment="1"/>
    <xf numFmtId="0" fontId="36" fillId="0" borderId="0" xfId="0" applyFont="1" applyAlignment="1"/>
    <xf numFmtId="49" fontId="37" fillId="2" borderId="4" xfId="0" applyNumberFormat="1" applyFont="1" applyFill="1" applyBorder="1" applyAlignment="1">
      <alignment horizontal="center" vertical="center" wrapText="1"/>
    </xf>
    <xf numFmtId="49" fontId="38" fillId="2" borderId="5" xfId="0" applyNumberFormat="1" applyFont="1" applyFill="1" applyBorder="1" applyAlignment="1">
      <alignment horizontal="center" vertical="center" wrapText="1"/>
    </xf>
    <xf numFmtId="49" fontId="38" fillId="0" borderId="5" xfId="0" applyNumberFormat="1" applyFont="1" applyBorder="1" applyAlignment="1">
      <alignment horizontal="center" vertical="center" wrapText="1"/>
    </xf>
    <xf numFmtId="3" fontId="39" fillId="3" borderId="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10" fontId="13" fillId="0" borderId="10" xfId="0" applyNumberFormat="1" applyFont="1" applyBorder="1" applyAlignment="1">
      <alignment horizontal="center" vertical="center" wrapText="1"/>
    </xf>
    <xf numFmtId="49" fontId="43" fillId="2" borderId="32" xfId="0" applyNumberFormat="1" applyFont="1" applyFill="1" applyBorder="1" applyAlignment="1">
      <alignment horizontal="center" vertical="center" wrapText="1"/>
    </xf>
    <xf numFmtId="167" fontId="7" fillId="4" borderId="3" xfId="0" applyNumberFormat="1" applyFont="1" applyFill="1" applyBorder="1" applyAlignment="1">
      <alignment horizontal="center" vertical="center" wrapText="1"/>
    </xf>
    <xf numFmtId="167" fontId="13" fillId="0" borderId="22" xfId="0" applyNumberFormat="1" applyFont="1" applyBorder="1" applyAlignment="1">
      <alignment horizontal="center" vertical="center" wrapText="1"/>
    </xf>
    <xf numFmtId="167" fontId="7" fillId="4" borderId="32" xfId="0" applyNumberFormat="1" applyFont="1" applyFill="1" applyBorder="1" applyAlignment="1">
      <alignment horizontal="center" vertical="center" wrapText="1"/>
    </xf>
    <xf numFmtId="49" fontId="43" fillId="2" borderId="9" xfId="0" applyNumberFormat="1" applyFont="1" applyFill="1" applyBorder="1" applyAlignment="1">
      <alignment horizontal="center" vertical="center" wrapText="1"/>
    </xf>
    <xf numFmtId="166" fontId="7" fillId="4" borderId="9" xfId="0" applyNumberFormat="1" applyFont="1" applyFill="1" applyBorder="1" applyAlignment="1">
      <alignment horizontal="center" vertical="center" wrapText="1"/>
    </xf>
    <xf numFmtId="49" fontId="43" fillId="2" borderId="3" xfId="0" applyNumberFormat="1" applyFont="1" applyFill="1" applyBorder="1" applyAlignment="1">
      <alignment horizontal="center" vertical="center" wrapText="1"/>
    </xf>
    <xf numFmtId="167" fontId="13" fillId="2" borderId="29" xfId="0" applyNumberFormat="1" applyFont="1" applyFill="1" applyBorder="1" applyAlignment="1">
      <alignment horizontal="center" vertical="center" wrapText="1"/>
    </xf>
    <xf numFmtId="167" fontId="13" fillId="2" borderId="22" xfId="0" applyNumberFormat="1" applyFont="1" applyFill="1" applyBorder="1" applyAlignment="1">
      <alignment horizontal="center" vertical="center" wrapText="1"/>
    </xf>
    <xf numFmtId="49" fontId="43" fillId="2" borderId="20" xfId="0" applyNumberFormat="1" applyFont="1" applyFill="1" applyBorder="1" applyAlignment="1">
      <alignment horizontal="center" vertical="center" wrapText="1"/>
    </xf>
    <xf numFmtId="166" fontId="7" fillId="4" borderId="20" xfId="0" applyNumberFormat="1" applyFont="1" applyFill="1" applyBorder="1" applyAlignment="1">
      <alignment horizontal="center" vertical="center" wrapText="1"/>
    </xf>
    <xf numFmtId="167" fontId="7" fillId="4" borderId="9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/>
    <xf numFmtId="0" fontId="0" fillId="0" borderId="0" xfId="0"/>
    <xf numFmtId="166" fontId="13" fillId="0" borderId="19" xfId="0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Alignment="1"/>
    <xf numFmtId="0" fontId="1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7" fillId="2" borderId="33" xfId="0" applyNumberFormat="1" applyFont="1" applyFill="1" applyBorder="1" applyAlignment="1">
      <alignment horizontal="left" vertical="center" wrapText="1" indent="1"/>
    </xf>
    <xf numFmtId="49" fontId="13" fillId="2" borderId="18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3" fillId="2" borderId="18" xfId="0" applyFont="1" applyFill="1" applyBorder="1" applyAlignment="1">
      <alignment horizontal="left" vertical="center" wrapText="1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 applyAlignment="1"/>
    <xf numFmtId="0" fontId="53" fillId="0" borderId="0" xfId="0" applyFont="1"/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49" fillId="0" borderId="0" xfId="0" applyFont="1" applyAlignment="1">
      <alignment horizontal="left" vertical="top" wrapText="1"/>
    </xf>
    <xf numFmtId="3" fontId="49" fillId="0" borderId="0" xfId="0" applyNumberFormat="1" applyFont="1" applyAlignment="1">
      <alignment horizontal="left" vertical="top" wrapText="1"/>
    </xf>
    <xf numFmtId="0" fontId="49" fillId="7" borderId="0" xfId="0" applyFont="1" applyFill="1" applyAlignment="1">
      <alignment horizontal="left" vertical="top" wrapText="1"/>
    </xf>
    <xf numFmtId="3" fontId="49" fillId="7" borderId="0" xfId="0" applyNumberFormat="1" applyFont="1" applyFill="1" applyAlignment="1">
      <alignment horizontal="left" vertical="top" wrapText="1"/>
    </xf>
    <xf numFmtId="49" fontId="38" fillId="0" borderId="7" xfId="0" applyNumberFormat="1" applyFont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 wrapText="1"/>
    </xf>
    <xf numFmtId="167" fontId="13" fillId="0" borderId="34" xfId="0" applyNumberFormat="1" applyFont="1" applyBorder="1" applyAlignment="1">
      <alignment horizontal="center" vertical="center" wrapText="1"/>
    </xf>
    <xf numFmtId="38" fontId="7" fillId="4" borderId="36" xfId="0" applyNumberFormat="1" applyFont="1" applyFill="1" applyBorder="1" applyAlignment="1">
      <alignment horizontal="center" vertical="center" wrapText="1"/>
    </xf>
    <xf numFmtId="38" fontId="7" fillId="4" borderId="37" xfId="0" applyNumberFormat="1" applyFont="1" applyFill="1" applyBorder="1" applyAlignment="1">
      <alignment horizontal="center" vertical="center" wrapText="1"/>
    </xf>
    <xf numFmtId="3" fontId="11" fillId="3" borderId="39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38" fontId="1" fillId="0" borderId="0" xfId="0" applyNumberFormat="1" applyFont="1" applyAlignment="1"/>
    <xf numFmtId="49" fontId="7" fillId="2" borderId="11" xfId="0" applyNumberFormat="1" applyFont="1" applyFill="1" applyBorder="1" applyAlignment="1">
      <alignment horizontal="center" vertical="center" wrapText="1"/>
    </xf>
    <xf numFmtId="10" fontId="13" fillId="0" borderId="10" xfId="3" applyNumberFormat="1" applyFont="1" applyBorder="1" applyAlignment="1">
      <alignment horizontal="center" vertical="center" wrapText="1"/>
    </xf>
    <xf numFmtId="10" fontId="13" fillId="0" borderId="19" xfId="3" applyNumberFormat="1" applyFont="1" applyBorder="1" applyAlignment="1">
      <alignment horizontal="center" vertical="center" wrapText="1"/>
    </xf>
    <xf numFmtId="167" fontId="13" fillId="8" borderId="22" xfId="0" applyNumberFormat="1" applyFont="1" applyFill="1" applyBorder="1" applyAlignment="1">
      <alignment horizontal="center" vertical="center" wrapText="1"/>
    </xf>
    <xf numFmtId="167" fontId="13" fillId="8" borderId="11" xfId="0" applyNumberFormat="1" applyFont="1" applyFill="1" applyBorder="1" applyAlignment="1">
      <alignment horizontal="center" vertical="center" wrapText="1"/>
    </xf>
    <xf numFmtId="10" fontId="13" fillId="8" borderId="10" xfId="0" applyNumberFormat="1" applyFont="1" applyFill="1" applyBorder="1" applyAlignment="1">
      <alignment horizontal="center" vertical="center" wrapText="1"/>
    </xf>
    <xf numFmtId="167" fontId="13" fillId="8" borderId="45" xfId="0" applyNumberFormat="1" applyFont="1" applyFill="1" applyBorder="1" applyAlignment="1">
      <alignment horizontal="center" vertical="center" wrapText="1"/>
    </xf>
    <xf numFmtId="167" fontId="13" fillId="8" borderId="43" xfId="0" applyNumberFormat="1" applyFont="1" applyFill="1" applyBorder="1" applyAlignment="1">
      <alignment horizontal="center" vertical="center" wrapText="1"/>
    </xf>
    <xf numFmtId="0" fontId="54" fillId="6" borderId="44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54" fillId="6" borderId="44" xfId="0" applyFont="1" applyFill="1" applyBorder="1" applyAlignment="1"/>
    <xf numFmtId="0" fontId="22" fillId="6" borderId="44" xfId="0" applyFont="1" applyFill="1" applyBorder="1" applyAlignment="1"/>
    <xf numFmtId="10" fontId="13" fillId="2" borderId="10" xfId="3" applyNumberFormat="1" applyFont="1" applyFill="1" applyBorder="1" applyAlignment="1">
      <alignment horizontal="center" vertical="center" wrapText="1"/>
    </xf>
    <xf numFmtId="49" fontId="35" fillId="2" borderId="34" xfId="0" applyNumberFormat="1" applyFont="1" applyFill="1" applyBorder="1" applyAlignment="1">
      <alignment horizontal="center" vertical="center" wrapText="1"/>
    </xf>
    <xf numFmtId="49" fontId="35" fillId="2" borderId="46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/>
    <xf numFmtId="167" fontId="13" fillId="0" borderId="42" xfId="0" applyNumberFormat="1" applyFont="1" applyBorder="1" applyAlignment="1">
      <alignment horizontal="center" vertical="center" wrapText="1"/>
    </xf>
    <xf numFmtId="167" fontId="13" fillId="2" borderId="42" xfId="0" applyNumberFormat="1" applyFont="1" applyFill="1" applyBorder="1" applyAlignment="1">
      <alignment horizontal="center" vertical="center" wrapText="1"/>
    </xf>
    <xf numFmtId="167" fontId="13" fillId="0" borderId="43" xfId="0" applyNumberFormat="1" applyFont="1" applyBorder="1" applyAlignment="1">
      <alignment horizontal="center" vertical="center" wrapText="1"/>
    </xf>
    <xf numFmtId="167" fontId="13" fillId="2" borderId="43" xfId="0" applyNumberFormat="1" applyFont="1" applyFill="1" applyBorder="1" applyAlignment="1">
      <alignment horizontal="center" vertical="center" wrapText="1"/>
    </xf>
    <xf numFmtId="167" fontId="13" fillId="2" borderId="47" xfId="0" applyNumberFormat="1" applyFont="1" applyFill="1" applyBorder="1" applyAlignment="1">
      <alignment horizontal="center" vertical="center" wrapText="1"/>
    </xf>
    <xf numFmtId="10" fontId="13" fillId="2" borderId="48" xfId="3" applyNumberFormat="1" applyFont="1" applyFill="1" applyBorder="1" applyAlignment="1">
      <alignment horizontal="center" vertical="center" wrapText="1"/>
    </xf>
    <xf numFmtId="10" fontId="13" fillId="2" borderId="49" xfId="3" applyNumberFormat="1" applyFont="1" applyFill="1" applyBorder="1" applyAlignment="1">
      <alignment horizontal="center" vertical="center" wrapText="1"/>
    </xf>
    <xf numFmtId="167" fontId="13" fillId="2" borderId="16" xfId="0" applyNumberFormat="1" applyFont="1" applyFill="1" applyBorder="1" applyAlignment="1">
      <alignment horizontal="center" vertical="center" wrapText="1"/>
    </xf>
    <xf numFmtId="10" fontId="13" fillId="2" borderId="50" xfId="3" applyNumberFormat="1" applyFont="1" applyFill="1" applyBorder="1" applyAlignment="1">
      <alignment horizontal="center" vertical="center" wrapText="1"/>
    </xf>
    <xf numFmtId="10" fontId="13" fillId="2" borderId="51" xfId="3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10" fontId="13" fillId="2" borderId="19" xfId="3" applyNumberFormat="1" applyFont="1" applyFill="1" applyBorder="1" applyAlignment="1">
      <alignment horizontal="center" vertical="center" wrapText="1"/>
    </xf>
    <xf numFmtId="10" fontId="13" fillId="2" borderId="21" xfId="3" applyNumberFormat="1" applyFont="1" applyFill="1" applyBorder="1" applyAlignment="1">
      <alignment horizontal="center" vertical="center" wrapText="1"/>
    </xf>
    <xf numFmtId="167" fontId="13" fillId="2" borderId="44" xfId="0" applyNumberFormat="1" applyFont="1" applyFill="1" applyBorder="1" applyAlignment="1">
      <alignment horizontal="right" vertical="center" wrapText="1"/>
    </xf>
    <xf numFmtId="0" fontId="35" fillId="0" borderId="44" xfId="0" applyFont="1" applyBorder="1" applyAlignment="1">
      <alignment horizontal="right"/>
    </xf>
    <xf numFmtId="0" fontId="35" fillId="2" borderId="44" xfId="0" applyFont="1" applyFill="1" applyBorder="1" applyAlignment="1">
      <alignment horizontal="right"/>
    </xf>
    <xf numFmtId="0" fontId="57" fillId="0" borderId="0" xfId="0" applyFont="1" applyAlignment="1"/>
    <xf numFmtId="49" fontId="58" fillId="2" borderId="11" xfId="0" applyNumberFormat="1" applyFont="1" applyFill="1" applyBorder="1" applyAlignment="1">
      <alignment horizontal="center" vertical="center" wrapText="1"/>
    </xf>
    <xf numFmtId="166" fontId="13" fillId="4" borderId="52" xfId="0" applyNumberFormat="1" applyFont="1" applyFill="1" applyBorder="1" applyAlignment="1">
      <alignment horizontal="center" vertical="center" wrapText="1"/>
    </xf>
    <xf numFmtId="3" fontId="13" fillId="2" borderId="23" xfId="0" applyNumberFormat="1" applyFont="1" applyFill="1" applyBorder="1" applyAlignment="1">
      <alignment horizontal="center" vertical="center" wrapText="1"/>
    </xf>
    <xf numFmtId="10" fontId="13" fillId="2" borderId="24" xfId="3" applyNumberFormat="1" applyFont="1" applyFill="1" applyBorder="1" applyAlignment="1">
      <alignment horizontal="center" vertical="center" wrapText="1"/>
    </xf>
    <xf numFmtId="3" fontId="13" fillId="2" borderId="43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left" vertical="center" wrapText="1"/>
    </xf>
    <xf numFmtId="1" fontId="24" fillId="2" borderId="25" xfId="0" applyNumberFormat="1" applyFont="1" applyFill="1" applyBorder="1" applyAlignment="1">
      <alignment horizontal="left" vertical="center" wrapText="1"/>
    </xf>
    <xf numFmtId="1" fontId="25" fillId="2" borderId="25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vertical="top" wrapText="1"/>
    </xf>
    <xf numFmtId="3" fontId="13" fillId="0" borderId="53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165" fontId="13" fillId="0" borderId="35" xfId="0" applyNumberFormat="1" applyFont="1" applyBorder="1" applyAlignment="1">
      <alignment horizontal="center" vertical="center" wrapText="1"/>
    </xf>
    <xf numFmtId="14" fontId="13" fillId="0" borderId="55" xfId="0" applyNumberFormat="1" applyFont="1" applyBorder="1" applyAlignment="1">
      <alignment horizontal="center" vertical="center" wrapText="1"/>
    </xf>
    <xf numFmtId="167" fontId="13" fillId="8" borderId="34" xfId="0" applyNumberFormat="1" applyFont="1" applyFill="1" applyBorder="1" applyAlignment="1">
      <alignment horizontal="center" vertical="center" wrapText="1"/>
    </xf>
    <xf numFmtId="167" fontId="13" fillId="0" borderId="54" xfId="0" applyNumberFormat="1" applyFont="1" applyBorder="1" applyAlignment="1">
      <alignment horizontal="center" vertical="center" wrapText="1"/>
    </xf>
    <xf numFmtId="167" fontId="13" fillId="0" borderId="53" xfId="0" applyNumberFormat="1" applyFont="1" applyBorder="1" applyAlignment="1">
      <alignment horizontal="center" vertical="center" wrapText="1"/>
    </xf>
    <xf numFmtId="167" fontId="13" fillId="0" borderId="46" xfId="0" applyNumberFormat="1" applyFont="1" applyBorder="1" applyAlignment="1">
      <alignment horizontal="center" vertical="center" wrapText="1"/>
    </xf>
    <xf numFmtId="0" fontId="35" fillId="0" borderId="44" xfId="0" applyFont="1" applyBorder="1"/>
    <xf numFmtId="3" fontId="35" fillId="0" borderId="44" xfId="0" applyNumberFormat="1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167" fontId="13" fillId="2" borderId="44" xfId="0" applyNumberFormat="1" applyFont="1" applyFill="1" applyBorder="1" applyAlignment="1">
      <alignment horizontal="center" wrapText="1"/>
    </xf>
    <xf numFmtId="167" fontId="13" fillId="0" borderId="44" xfId="0" applyNumberFormat="1" applyFont="1" applyBorder="1" applyAlignment="1">
      <alignment horizontal="center" wrapText="1"/>
    </xf>
    <xf numFmtId="49" fontId="59" fillId="2" borderId="11" xfId="0" applyNumberFormat="1" applyFont="1" applyFill="1" applyBorder="1" applyAlignment="1">
      <alignment horizontal="center" vertical="center" wrapText="1"/>
    </xf>
    <xf numFmtId="49" fontId="60" fillId="2" borderId="11" xfId="0" applyNumberFormat="1" applyFont="1" applyFill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 vertical="center" wrapText="1"/>
    </xf>
    <xf numFmtId="3" fontId="47" fillId="2" borderId="10" xfId="0" applyNumberFormat="1" applyFont="1" applyFill="1" applyBorder="1" applyAlignment="1">
      <alignment horizontal="center" vertical="center" wrapText="1"/>
    </xf>
    <xf numFmtId="3" fontId="47" fillId="2" borderId="19" xfId="0" applyNumberFormat="1" applyFont="1" applyFill="1" applyBorder="1" applyAlignment="1">
      <alignment horizontal="center" vertical="center" wrapText="1"/>
    </xf>
    <xf numFmtId="2" fontId="13" fillId="0" borderId="55" xfId="0" applyNumberFormat="1" applyFont="1" applyBorder="1" applyAlignment="1">
      <alignment horizontal="center" vertical="center" wrapText="1"/>
    </xf>
    <xf numFmtId="10" fontId="13" fillId="0" borderId="50" xfId="0" applyNumberFormat="1" applyFont="1" applyBorder="1" applyAlignment="1">
      <alignment horizontal="center" vertical="center" wrapText="1"/>
    </xf>
    <xf numFmtId="167" fontId="13" fillId="0" borderId="58" xfId="0" applyNumberFormat="1" applyFont="1" applyBorder="1" applyAlignment="1">
      <alignment horizontal="center" vertical="center" wrapText="1"/>
    </xf>
    <xf numFmtId="10" fontId="13" fillId="0" borderId="60" xfId="0" applyNumberFormat="1" applyFont="1" applyBorder="1" applyAlignment="1">
      <alignment horizontal="center" vertical="center" wrapText="1"/>
    </xf>
    <xf numFmtId="167" fontId="13" fillId="8" borderId="59" xfId="0" applyNumberFormat="1" applyFont="1" applyFill="1" applyBorder="1" applyAlignment="1">
      <alignment horizontal="center" vertical="center" wrapText="1"/>
    </xf>
    <xf numFmtId="10" fontId="13" fillId="0" borderId="61" xfId="0" applyNumberFormat="1" applyFont="1" applyBorder="1" applyAlignment="1">
      <alignment horizontal="center" vertical="center" wrapText="1"/>
    </xf>
    <xf numFmtId="3" fontId="13" fillId="0" borderId="62" xfId="0" applyNumberFormat="1" applyFont="1" applyBorder="1" applyAlignment="1">
      <alignment horizontal="center" vertical="center" wrapText="1"/>
    </xf>
    <xf numFmtId="167" fontId="13" fillId="0" borderId="63" xfId="0" applyNumberFormat="1" applyFont="1" applyBorder="1" applyAlignment="1">
      <alignment horizontal="center" vertical="center" wrapText="1"/>
    </xf>
    <xf numFmtId="49" fontId="18" fillId="2" borderId="56" xfId="0" applyNumberFormat="1" applyFont="1" applyFill="1" applyBorder="1" applyAlignment="1">
      <alignment horizontal="center" vertical="center" wrapText="1"/>
    </xf>
    <xf numFmtId="3" fontId="13" fillId="2" borderId="57" xfId="0" applyNumberFormat="1" applyFont="1" applyFill="1" applyBorder="1" applyAlignment="1">
      <alignment horizontal="center" vertical="center" wrapText="1"/>
    </xf>
    <xf numFmtId="38" fontId="13" fillId="2" borderId="65" xfId="0" applyNumberFormat="1" applyFont="1" applyFill="1" applyBorder="1" applyAlignment="1">
      <alignment horizontal="center" vertical="center" wrapText="1"/>
    </xf>
    <xf numFmtId="49" fontId="60" fillId="2" borderId="64" xfId="0" applyNumberFormat="1" applyFont="1" applyFill="1" applyBorder="1" applyAlignment="1">
      <alignment horizontal="center" vertical="center" wrapText="1"/>
    </xf>
    <xf numFmtId="3" fontId="13" fillId="2" borderId="66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left" vertical="center" wrapText="1" indent="1"/>
    </xf>
    <xf numFmtId="49" fontId="5" fillId="3" borderId="2" xfId="0" applyNumberFormat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49" fontId="10" fillId="3" borderId="6" xfId="0" applyNumberFormat="1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5" borderId="9" xfId="0" applyFont="1" applyFill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 indent="1"/>
    </xf>
    <xf numFmtId="49" fontId="15" fillId="0" borderId="9" xfId="0" applyNumberFormat="1" applyFont="1" applyBorder="1" applyAlignment="1">
      <alignment horizontal="left" vertical="center" wrapText="1" inden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 indent="1"/>
    </xf>
    <xf numFmtId="0" fontId="15" fillId="5" borderId="12" xfId="0" applyFont="1" applyFill="1" applyBorder="1" applyAlignment="1">
      <alignment horizontal="left" vertical="center" wrapText="1" indent="1"/>
    </xf>
    <xf numFmtId="49" fontId="14" fillId="5" borderId="14" xfId="0" applyNumberFormat="1" applyFont="1" applyFill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49" fontId="14" fillId="0" borderId="14" xfId="0" applyNumberFormat="1" applyFont="1" applyBorder="1" applyAlignment="1">
      <alignment horizontal="left" vertical="center" wrapText="1" indent="1"/>
    </xf>
    <xf numFmtId="49" fontId="10" fillId="3" borderId="2" xfId="0" applyNumberFormat="1" applyFont="1" applyFill="1" applyBorder="1" applyAlignment="1">
      <alignment horizontal="left" vertical="top" wrapText="1"/>
    </xf>
    <xf numFmtId="3" fontId="17" fillId="2" borderId="3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20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23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24" xfId="0" applyNumberFormat="1" applyFont="1" applyFill="1" applyBorder="1" applyAlignment="1">
      <alignment horizontal="center" vertical="center" wrapText="1"/>
    </xf>
    <xf numFmtId="1" fontId="24" fillId="2" borderId="25" xfId="0" applyNumberFormat="1" applyFont="1" applyFill="1" applyBorder="1" applyAlignment="1">
      <alignment horizontal="left" vertical="center" wrapText="1"/>
    </xf>
    <xf numFmtId="1" fontId="25" fillId="2" borderId="25" xfId="0" applyNumberFormat="1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vertical="top" wrapText="1"/>
    </xf>
    <xf numFmtId="49" fontId="24" fillId="2" borderId="0" xfId="0" applyNumberFormat="1" applyFont="1" applyFill="1" applyBorder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vertical="top" wrapText="1"/>
    </xf>
    <xf numFmtId="49" fontId="31" fillId="2" borderId="12" xfId="0" applyNumberFormat="1" applyFont="1" applyFill="1" applyBorder="1" applyAlignment="1">
      <alignment horizontal="left" vertical="center" wrapText="1" indent="1"/>
    </xf>
    <xf numFmtId="49" fontId="14" fillId="2" borderId="14" xfId="0" applyNumberFormat="1" applyFont="1" applyFill="1" applyBorder="1" applyAlignment="1">
      <alignment horizontal="left" vertical="center" wrapText="1" indent="1"/>
    </xf>
    <xf numFmtId="49" fontId="15" fillId="2" borderId="9" xfId="0" applyNumberFormat="1" applyFont="1" applyFill="1" applyBorder="1" applyAlignment="1">
      <alignment horizontal="left" vertical="center" wrapText="1" indent="1"/>
    </xf>
    <xf numFmtId="0" fontId="15" fillId="2" borderId="9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left" vertical="center" wrapText="1" indent="1"/>
    </xf>
    <xf numFmtId="0" fontId="42" fillId="2" borderId="9" xfId="0" applyFont="1" applyFill="1" applyBorder="1" applyAlignment="1">
      <alignment horizontal="left" vertical="center" wrapText="1" indent="1"/>
    </xf>
    <xf numFmtId="0" fontId="20" fillId="2" borderId="9" xfId="0" applyFont="1" applyFill="1" applyBorder="1" applyAlignment="1">
      <alignment horizontal="left" vertical="center" wrapText="1" indent="1"/>
    </xf>
    <xf numFmtId="49" fontId="10" fillId="3" borderId="6" xfId="0" applyNumberFormat="1" applyFont="1" applyFill="1" applyBorder="1" applyAlignment="1">
      <alignment horizontal="left" vertical="top" wrapText="1"/>
    </xf>
    <xf numFmtId="49" fontId="10" fillId="3" borderId="38" xfId="0" applyNumberFormat="1" applyFont="1" applyFill="1" applyBorder="1" applyAlignment="1">
      <alignment horizontal="left" vertical="top" wrapText="1"/>
    </xf>
    <xf numFmtId="49" fontId="42" fillId="2" borderId="9" xfId="0" applyNumberFormat="1" applyFont="1" applyFill="1" applyBorder="1" applyAlignment="1">
      <alignment horizontal="left" vertical="center" wrapText="1" indent="1"/>
    </xf>
    <xf numFmtId="49" fontId="5" fillId="3" borderId="6" xfId="0" applyNumberFormat="1" applyFont="1" applyFill="1" applyBorder="1" applyAlignment="1">
      <alignment horizontal="left" vertical="center" wrapText="1" indent="1"/>
    </xf>
    <xf numFmtId="49" fontId="5" fillId="3" borderId="7" xfId="0" applyNumberFormat="1" applyFont="1" applyFill="1" applyBorder="1" applyAlignment="1">
      <alignment horizontal="left" vertical="center" wrapText="1" indent="1"/>
    </xf>
    <xf numFmtId="49" fontId="5" fillId="3" borderId="8" xfId="0" applyNumberFormat="1" applyFont="1" applyFill="1" applyBorder="1" applyAlignment="1">
      <alignment horizontal="left" vertical="center" wrapText="1" indent="1"/>
    </xf>
    <xf numFmtId="0" fontId="40" fillId="2" borderId="3" xfId="0" applyFont="1" applyFill="1" applyBorder="1" applyAlignment="1">
      <alignment horizontal="left" vertical="center" wrapText="1" indent="1"/>
    </xf>
    <xf numFmtId="0" fontId="40" fillId="2" borderId="9" xfId="0" applyFont="1" applyFill="1" applyBorder="1" applyAlignment="1">
      <alignment horizontal="left" vertical="center" wrapText="1" indent="1"/>
    </xf>
    <xf numFmtId="49" fontId="48" fillId="3" borderId="2" xfId="0" applyNumberFormat="1" applyFont="1" applyFill="1" applyBorder="1" applyAlignment="1">
      <alignment horizontal="left" vertical="center" wrapText="1" indent="1"/>
    </xf>
    <xf numFmtId="49" fontId="5" fillId="3" borderId="2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vertical="top" wrapText="1"/>
    </xf>
    <xf numFmtId="49" fontId="47" fillId="2" borderId="0" xfId="0" applyNumberFormat="1" applyFont="1" applyFill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7000000}"/>
    <cellStyle name="Porcentaje" xfId="3" builtinId="5"/>
    <cellStyle name="Resultat2" xfId="1" xr:uid="{00000000-0005-0000-0000-000006000000}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30" formatCode="@"/>
      <fill>
        <patternFill patternType="solid">
          <fgColor rgb="FFEEEEEE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ck">
          <color rgb="FF068B90"/>
        </top>
        <bottom style="thin">
          <color rgb="FF068B9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numFmt numFmtId="30" formatCode="@"/>
      <fill>
        <patternFill patternType="solid">
          <fgColor rgb="FFEEEEEE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ck">
          <color rgb="FF068B90"/>
        </top>
        <bottom style="thin">
          <color rgb="FF068B90"/>
        </bottom>
        <vertical/>
        <horizontal/>
      </border>
    </dxf>
    <dxf>
      <border outline="0">
        <top style="thick">
          <color rgb="FF068B90"/>
        </top>
      </border>
    </dxf>
    <dxf>
      <border outline="0">
        <left style="thin">
          <color rgb="FF068B90"/>
        </left>
        <right style="thin">
          <color rgb="FF068B90"/>
        </right>
        <top style="thick">
          <color rgb="FF068B90"/>
        </top>
        <bottom style="thin">
          <color rgb="FF068B9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rgb="FFEEEEEE"/>
          <bgColor rgb="FFFFFFFF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68B9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6" formatCode="#,##0;[Red]\-#,##0"/>
      <fill>
        <patternFill patternType="solid">
          <fgColor rgb="FFDEE7E5"/>
          <bgColor rgb="FFE7E7E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579D1C"/>
      <rgbColor rgb="FF800080"/>
      <rgbColor rgb="FF068B90"/>
      <rgbColor rgb="FFB9C5C1"/>
      <rgbColor rgb="FF808080"/>
      <rgbColor rgb="FF9999FF"/>
      <rgbColor rgb="FF993366"/>
      <rgbColor rgb="FFEEEEEE"/>
      <rgbColor rgb="FFE7E7E7"/>
      <rgbColor rgb="FF660066"/>
      <rgbColor rgb="FFFF8080"/>
      <rgbColor rgb="FF0066CC"/>
      <rgbColor rgb="FFB3B3B3"/>
      <rgbColor rgb="FF000080"/>
      <rgbColor rgb="FFFF00FF"/>
      <rgbColor rgb="FFFFFF00"/>
      <rgbColor rgb="FF00FFFF"/>
      <rgbColor rgb="FF800080"/>
      <rgbColor rgb="FF800000"/>
      <rgbColor rgb="FF006B6B"/>
      <rgbColor rgb="FF0000FF"/>
      <rgbColor rgb="FF00CCFF"/>
      <rgbColor rgb="FFCCFFFF"/>
      <rgbColor rgb="FFDEE7E5"/>
      <rgbColor rgb="FFFFFF99"/>
      <rgbColor rgb="FF83CAFF"/>
      <rgbColor rgb="FFFF99CC"/>
      <rgbColor rgb="FFCC99FF"/>
      <rgbColor rgb="FFF5DDD9"/>
      <rgbColor rgb="FF3366FF"/>
      <rgbColor rgb="FF33CCCC"/>
      <rgbColor rgb="FF99CC00"/>
      <rgbColor rgb="FFFFD320"/>
      <rgbColor rgb="FFF3AE04"/>
      <rgbColor rgb="FFFF420E"/>
      <rgbColor rgb="FF666699"/>
      <rgbColor rgb="FFB480AC"/>
      <rgbColor rgb="FF004586"/>
      <rgbColor rgb="FF5E9B82"/>
      <rgbColor rgb="FF111111"/>
      <rgbColor rgb="FF1B1B1B"/>
      <rgbColor rgb="FF993300"/>
      <rgbColor rgb="FF993366"/>
      <rgbColor rgb="FF004A51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latin typeface="Arial"/>
              </a:defRPr>
            </a:pPr>
            <a:r>
              <a:rPr lang="es-ES_tradnl" sz="1400" b="1" strike="noStrike" spc="-1">
                <a:latin typeface="Arial"/>
              </a:rPr>
              <a:t>Mètriques Google Analytics 2016-2024
Métricas Google Analyticis 2016-2024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'2024-2016'!$B$7</c:f>
              <c:strCache>
                <c:ptCount val="1"/>
                <c:pt idx="0">
                  <c:v>Sessions
Sesiones</c:v>
                </c:pt>
              </c:strCache>
            </c:strRef>
          </c:tx>
          <c:spPr>
            <a:solidFill>
              <a:srgbClr val="068B9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'2024-2016'!$D$7:$L$7</c:f>
              <c:numCache>
                <c:formatCode>#,##0</c:formatCode>
                <c:ptCount val="9"/>
                <c:pt idx="0">
                  <c:v>7823</c:v>
                </c:pt>
                <c:pt idx="1">
                  <c:v>13252</c:v>
                </c:pt>
                <c:pt idx="2">
                  <c:v>18643</c:v>
                </c:pt>
                <c:pt idx="3">
                  <c:v>14572</c:v>
                </c:pt>
                <c:pt idx="4">
                  <c:v>124407</c:v>
                </c:pt>
                <c:pt idx="5">
                  <c:v>184495</c:v>
                </c:pt>
                <c:pt idx="6">
                  <c:v>75121</c:v>
                </c:pt>
                <c:pt idx="7">
                  <c:v>60410</c:v>
                </c:pt>
                <c:pt idx="8">
                  <c:v>20237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98B-ADEA-A1DA098632C9}"/>
            </c:ext>
          </c:extLst>
        </c:ser>
        <c:ser>
          <c:idx val="1"/>
          <c:order val="1"/>
          <c:tx>
            <c:strRef>
              <c:f>'2024-2016'!$B$8</c:f>
              <c:strCache>
                <c:ptCount val="1"/>
                <c:pt idx="0">
                  <c:v>Usuaris/es
Usuarios/as</c:v>
                </c:pt>
              </c:strCache>
            </c:strRef>
          </c:tx>
          <c:spPr>
            <a:solidFill>
              <a:srgbClr val="B9C5C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'2024-2016'!$D$8:$L$8</c:f>
              <c:numCache>
                <c:formatCode>#,##0</c:formatCode>
                <c:ptCount val="9"/>
                <c:pt idx="0">
                  <c:v>6330</c:v>
                </c:pt>
                <c:pt idx="1">
                  <c:v>11044</c:v>
                </c:pt>
                <c:pt idx="2">
                  <c:v>14264</c:v>
                </c:pt>
                <c:pt idx="3">
                  <c:v>10644</c:v>
                </c:pt>
                <c:pt idx="4">
                  <c:v>80924</c:v>
                </c:pt>
                <c:pt idx="5">
                  <c:v>202414</c:v>
                </c:pt>
                <c:pt idx="6">
                  <c:v>55113</c:v>
                </c:pt>
                <c:pt idx="7">
                  <c:v>47306</c:v>
                </c:pt>
                <c:pt idx="8">
                  <c:v>15147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98B-ADEA-A1DA098632C9}"/>
            </c:ext>
          </c:extLst>
        </c:ser>
        <c:ser>
          <c:idx val="2"/>
          <c:order val="2"/>
          <c:tx>
            <c:strRef>
              <c:f>'2024-2016'!$B$9</c:f>
              <c:strCache>
                <c:ptCount val="1"/>
                <c:pt idx="0">
                  <c:v>Nombre de visites a pàgines 
Número de visitas a páginas</c:v>
                </c:pt>
              </c:strCache>
            </c:strRef>
          </c:tx>
          <c:spPr>
            <a:solidFill>
              <a:srgbClr val="F3AE0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'2024-2016'!$D$9:$L$9</c:f>
              <c:numCache>
                <c:formatCode>#,##0</c:formatCode>
                <c:ptCount val="9"/>
                <c:pt idx="0">
                  <c:v>32175</c:v>
                </c:pt>
                <c:pt idx="1">
                  <c:v>56991</c:v>
                </c:pt>
                <c:pt idx="2">
                  <c:v>73083</c:v>
                </c:pt>
                <c:pt idx="3">
                  <c:v>64700</c:v>
                </c:pt>
                <c:pt idx="4">
                  <c:v>597748</c:v>
                </c:pt>
                <c:pt idx="5">
                  <c:v>563118</c:v>
                </c:pt>
                <c:pt idx="6">
                  <c:v>237006</c:v>
                </c:pt>
                <c:pt idx="7">
                  <c:v>207239</c:v>
                </c:pt>
                <c:pt idx="8">
                  <c:v>64651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93-498B-ADEA-A1DA098632C9}"/>
            </c:ext>
          </c:extLst>
        </c:ser>
        <c:ser>
          <c:idx val="3"/>
          <c:order val="3"/>
          <c:tx>
            <c:strRef>
              <c:f>'2024-2016'!$B$13</c:f>
              <c:strCache>
                <c:ptCount val="1"/>
                <c:pt idx="0">
                  <c:v>Usuaris/es nous/es
Usuarios/as nuevos/as</c:v>
                </c:pt>
              </c:strCache>
            </c:strRef>
          </c:tx>
          <c:spPr>
            <a:solidFill>
              <a:srgbClr val="B480AC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'2024-2016'!$D$13:$L$13</c:f>
              <c:numCache>
                <c:formatCode>#,##0</c:formatCode>
                <c:ptCount val="9"/>
                <c:pt idx="0">
                  <c:v>6329</c:v>
                </c:pt>
                <c:pt idx="1">
                  <c:v>10844</c:v>
                </c:pt>
                <c:pt idx="2">
                  <c:v>14093</c:v>
                </c:pt>
                <c:pt idx="3">
                  <c:v>4085</c:v>
                </c:pt>
                <c:pt idx="4">
                  <c:v>59513</c:v>
                </c:pt>
                <c:pt idx="5">
                  <c:v>110965</c:v>
                </c:pt>
                <c:pt idx="6">
                  <c:v>3102</c:v>
                </c:pt>
                <c:pt idx="7">
                  <c:v>43283</c:v>
                </c:pt>
                <c:pt idx="8">
                  <c:v>13840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93-498B-ADEA-A1DA09863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710958"/>
        <c:axId val="16138325"/>
      </c:barChart>
      <c:catAx>
        <c:axId val="2371095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1" strike="noStrike" spc="-1">
                <a:latin typeface="Arial"/>
              </a:defRPr>
            </a:pPr>
            <a:endParaRPr lang="es-ES"/>
          </a:p>
        </c:txPr>
        <c:crossAx val="16138325"/>
        <c:crosses val="autoZero"/>
        <c:auto val="1"/>
        <c:lblAlgn val="ctr"/>
        <c:lblOffset val="100"/>
        <c:noMultiLvlLbl val="0"/>
      </c:catAx>
      <c:valAx>
        <c:axId val="1613832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0" strike="noStrike" spc="-1">
                <a:latin typeface="Arial"/>
              </a:defRPr>
            </a:pPr>
            <a:endParaRPr lang="es-ES"/>
          </a:p>
        </c:txPr>
        <c:crossAx val="23710958"/>
        <c:crossesAt val="1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300" b="0" strike="noStrike" spc="-1"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latin typeface="Arial"/>
              </a:defRPr>
            </a:pPr>
            <a:r>
              <a:rPr lang="es-ES_tradnl" sz="1400" b="1" strike="noStrike" spc="-1">
                <a:latin typeface="Arial"/>
              </a:rPr>
              <a:t>Trànsit (sessions²)
Tráfico (sesiones²)</a:t>
            </a:r>
          </a:p>
        </c:rich>
      </c:tx>
      <c:layout>
        <c:manualLayout>
          <c:xMode val="edge"/>
          <c:yMode val="edge"/>
          <c:x val="0.44892581602373899"/>
          <c:y val="2.6628510452539202E-2"/>
        </c:manualLayout>
      </c:layout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Directe Directo</c:v>
          </c:tx>
          <c:spPr>
            <a:solidFill>
              <a:srgbClr val="068B9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'2024-2016'!$D$60:$L$60</c:f>
              <c:numCache>
                <c:formatCode>#,###</c:formatCode>
                <c:ptCount val="9"/>
                <c:pt idx="0">
                  <c:v>5052</c:v>
                </c:pt>
                <c:pt idx="1">
                  <c:v>9640</c:v>
                </c:pt>
                <c:pt idx="2">
                  <c:v>10605</c:v>
                </c:pt>
                <c:pt idx="3">
                  <c:v>10487</c:v>
                </c:pt>
                <c:pt idx="4">
                  <c:v>52875</c:v>
                </c:pt>
                <c:pt idx="5">
                  <c:v>38454</c:v>
                </c:pt>
                <c:pt idx="6">
                  <c:v>13080</c:v>
                </c:pt>
                <c:pt idx="7">
                  <c:v>12325</c:v>
                </c:pt>
                <c:pt idx="8">
                  <c:v>3882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A-4314-AAB2-8D84F21BE7CB}"/>
            </c:ext>
          </c:extLst>
        </c:ser>
        <c:ser>
          <c:idx val="1"/>
          <c:order val="1"/>
          <c:tx>
            <c:v>Orgànic Orgánico</c:v>
          </c:tx>
          <c:spPr>
            <a:solidFill>
              <a:srgbClr val="B9C5C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'2024-2016'!$D$62:$L$62</c:f>
              <c:numCache>
                <c:formatCode>#,###</c:formatCode>
                <c:ptCount val="9"/>
                <c:pt idx="0">
                  <c:v>1382</c:v>
                </c:pt>
                <c:pt idx="1">
                  <c:v>3126</c:v>
                </c:pt>
                <c:pt idx="2">
                  <c:v>6922</c:v>
                </c:pt>
                <c:pt idx="3">
                  <c:v>4042</c:v>
                </c:pt>
                <c:pt idx="4">
                  <c:v>8014</c:v>
                </c:pt>
                <c:pt idx="5">
                  <c:v>13263</c:v>
                </c:pt>
                <c:pt idx="6">
                  <c:v>11698</c:v>
                </c:pt>
                <c:pt idx="7">
                  <c:v>6498</c:v>
                </c:pt>
                <c:pt idx="8">
                  <c:v>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7A-4314-AAB2-8D84F21BE7CB}"/>
            </c:ext>
          </c:extLst>
        </c:ser>
        <c:ser>
          <c:idx val="2"/>
          <c:order val="2"/>
          <c:tx>
            <c:v>Referit Referido</c:v>
          </c:tx>
          <c:spPr>
            <a:solidFill>
              <a:srgbClr val="F3AE0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'2024-2016'!$D$64:$L$64</c:f>
              <c:numCache>
                <c:formatCode>#,###</c:formatCode>
                <c:ptCount val="9"/>
                <c:pt idx="0">
                  <c:v>747</c:v>
                </c:pt>
                <c:pt idx="1">
                  <c:v>478</c:v>
                </c:pt>
                <c:pt idx="2">
                  <c:v>1107</c:v>
                </c:pt>
                <c:pt idx="3">
                  <c:v>30</c:v>
                </c:pt>
                <c:pt idx="4">
                  <c:v>59711</c:v>
                </c:pt>
                <c:pt idx="5">
                  <c:v>50115</c:v>
                </c:pt>
                <c:pt idx="6">
                  <c:v>10176</c:v>
                </c:pt>
                <c:pt idx="7">
                  <c:v>199</c:v>
                </c:pt>
                <c:pt idx="8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7A-4314-AAB2-8D84F21BE7CB}"/>
            </c:ext>
          </c:extLst>
        </c:ser>
        <c:ser>
          <c:idx val="3"/>
          <c:order val="3"/>
          <c:tx>
            <c:v>Social Social</c:v>
          </c:tx>
          <c:spPr>
            <a:solidFill>
              <a:srgbClr val="B480AC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'2024-2016'!$D$66:$L$66</c:f>
              <c:numCache>
                <c:formatCode>#,###</c:formatCode>
                <c:ptCount val="9"/>
                <c:pt idx="0">
                  <c:v>639</c:v>
                </c:pt>
                <c:pt idx="1">
                  <c:v>8</c:v>
                </c:pt>
                <c:pt idx="2" formatCode="@">
                  <c:v>0</c:v>
                </c:pt>
                <c:pt idx="3">
                  <c:v>13</c:v>
                </c:pt>
                <c:pt idx="4">
                  <c:v>3806</c:v>
                </c:pt>
                <c:pt idx="5">
                  <c:v>830</c:v>
                </c:pt>
                <c:pt idx="6">
                  <c:v>77</c:v>
                </c:pt>
                <c:pt idx="7">
                  <c:v>15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A-4314-AAB2-8D84F21B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2005764"/>
        <c:axId val="19523158"/>
      </c:barChart>
      <c:catAx>
        <c:axId val="520057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1" strike="noStrike" spc="-1">
                <a:latin typeface="Arial"/>
              </a:defRPr>
            </a:pPr>
            <a:endParaRPr lang="es-ES"/>
          </a:p>
        </c:txPr>
        <c:crossAx val="19523158"/>
        <c:crosses val="autoZero"/>
        <c:auto val="1"/>
        <c:lblAlgn val="ctr"/>
        <c:lblOffset val="100"/>
        <c:noMultiLvlLbl val="0"/>
      </c:catAx>
      <c:valAx>
        <c:axId val="1952315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#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0" strike="noStrike" spc="-1">
                <a:latin typeface="Arial"/>
              </a:defRPr>
            </a:pPr>
            <a:endParaRPr lang="es-ES"/>
          </a:p>
        </c:txPr>
        <c:crossAx val="52005764"/>
        <c:crossesAt val="1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300" b="0" strike="noStrike" spc="-1"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latin typeface="Arial"/>
              </a:defRPr>
            </a:pPr>
            <a:r>
              <a:rPr lang="es-ES_tradnl" sz="1400" b="1" strike="noStrike" spc="-1">
                <a:latin typeface="Arial"/>
              </a:rPr>
              <a:t>Dispositius (sessions²)
Dispositivos (sesiones²)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Ordinador Ordenador</c:v>
          </c:tx>
          <c:spPr>
            <a:solidFill>
              <a:srgbClr val="B9C5C1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'2024-2016'!$D$69:$L$69</c:f>
              <c:numCache>
                <c:formatCode>#,###</c:formatCode>
                <c:ptCount val="9"/>
                <c:pt idx="0">
                  <c:v>6236</c:v>
                </c:pt>
                <c:pt idx="1">
                  <c:v>11202</c:v>
                </c:pt>
                <c:pt idx="2">
                  <c:v>16408</c:v>
                </c:pt>
                <c:pt idx="3">
                  <c:v>12662</c:v>
                </c:pt>
                <c:pt idx="4">
                  <c:v>57047</c:v>
                </c:pt>
                <c:pt idx="5">
                  <c:v>31157</c:v>
                </c:pt>
                <c:pt idx="6">
                  <c:v>17915</c:v>
                </c:pt>
                <c:pt idx="7">
                  <c:v>13341</c:v>
                </c:pt>
                <c:pt idx="8">
                  <c:v>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7-455D-9829-5F1DBCB97944}"/>
            </c:ext>
          </c:extLst>
        </c:ser>
        <c:ser>
          <c:idx val="1"/>
          <c:order val="1"/>
          <c:tx>
            <c:v>Mòbil Movil</c:v>
          </c:tx>
          <c:spPr>
            <a:solidFill>
              <a:srgbClr val="F3AE04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'2024-2016'!$D$71:$L$71</c:f>
              <c:numCache>
                <c:formatCode>#,###</c:formatCode>
                <c:ptCount val="9"/>
                <c:pt idx="0">
                  <c:v>1314</c:v>
                </c:pt>
                <c:pt idx="1">
                  <c:v>1580</c:v>
                </c:pt>
                <c:pt idx="2">
                  <c:v>1758</c:v>
                </c:pt>
                <c:pt idx="3">
                  <c:v>1512</c:v>
                </c:pt>
                <c:pt idx="4">
                  <c:v>54636</c:v>
                </c:pt>
                <c:pt idx="5">
                  <c:v>68608</c:v>
                </c:pt>
                <c:pt idx="6">
                  <c:v>16326</c:v>
                </c:pt>
                <c:pt idx="7">
                  <c:v>2500</c:v>
                </c:pt>
                <c:pt idx="8">
                  <c:v>1158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7-455D-9829-5F1DBCB97944}"/>
            </c:ext>
          </c:extLst>
        </c:ser>
        <c:ser>
          <c:idx val="2"/>
          <c:order val="2"/>
          <c:tx>
            <c:v>Tauleta tàctil Tableta tactil</c:v>
          </c:tx>
          <c:spPr>
            <a:solidFill>
              <a:srgbClr val="068B9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'2024-2016'!$D$73:$L$73</c:f>
              <c:numCache>
                <c:formatCode>#,###</c:formatCode>
                <c:ptCount val="9"/>
                <c:pt idx="0" formatCode="#,##0">
                  <c:v>273</c:v>
                </c:pt>
                <c:pt idx="1">
                  <c:v>470</c:v>
                </c:pt>
                <c:pt idx="2">
                  <c:v>477</c:v>
                </c:pt>
                <c:pt idx="3">
                  <c:v>398</c:v>
                </c:pt>
                <c:pt idx="4">
                  <c:v>3033</c:v>
                </c:pt>
                <c:pt idx="5">
                  <c:v>895</c:v>
                </c:pt>
                <c:pt idx="6">
                  <c:v>223</c:v>
                </c:pt>
                <c:pt idx="7">
                  <c:v>74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87-455D-9829-5F1DBCB97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540675"/>
        <c:axId val="99809118"/>
      </c:barChart>
      <c:catAx>
        <c:axId val="925406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1" strike="noStrike" spc="-1">
                <a:latin typeface="Arial"/>
              </a:defRPr>
            </a:pPr>
            <a:endParaRPr lang="es-ES"/>
          </a:p>
        </c:txPr>
        <c:crossAx val="99809118"/>
        <c:crosses val="autoZero"/>
        <c:auto val="1"/>
        <c:lblAlgn val="ctr"/>
        <c:lblOffset val="100"/>
        <c:noMultiLvlLbl val="0"/>
      </c:catAx>
      <c:valAx>
        <c:axId val="99809118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#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200" b="0" strike="noStrike" spc="-1">
                <a:latin typeface="Arial"/>
              </a:defRPr>
            </a:pPr>
            <a:endParaRPr lang="es-ES"/>
          </a:p>
        </c:txPr>
        <c:crossAx val="92540675"/>
        <c:crossesAt val="1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300" b="0" strike="noStrike" spc="-1"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c:style val="2"/>
  <c:chart>
    <c:title>
      <c:tx>
        <c:rich>
          <a:bodyPr rot="0"/>
          <a:lstStyle/>
          <a:p>
            <a:pPr>
              <a:defRPr sz="1300" b="1" strike="noStrike" spc="-1">
                <a:latin typeface="Arial"/>
              </a:defRPr>
            </a:pPr>
            <a:r>
              <a:rPr lang="es-ES_tradnl" sz="1300" b="1" strike="noStrike" spc="-1">
                <a:latin typeface="Arial"/>
              </a:rPr>
              <a:t>Evolució de les sessions
Evolución de las sesiones</a:t>
            </a:r>
          </a:p>
        </c:rich>
      </c:tx>
      <c:layout>
        <c:manualLayout>
          <c:xMode val="edge"/>
          <c:yMode val="edge"/>
          <c:x val="0.40006422435708699"/>
          <c:y val="3.8820582877959899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552061869464E-2"/>
          <c:y val="0.176571038251366"/>
          <c:w val="0.82793224330327297"/>
          <c:h val="0.76918260473588296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 Sesiones</c:v>
          </c:tx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'2024-2016'!$D$5:$L$5</c:f>
              <c:strCache>
                <c:ptCount val="9"/>
                <c:pt idx="0">
                  <c:v>2016**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'2024-2016'!$D$7:$L$7</c:f>
              <c:numCache>
                <c:formatCode>#,##0</c:formatCode>
                <c:ptCount val="9"/>
                <c:pt idx="0">
                  <c:v>7823</c:v>
                </c:pt>
                <c:pt idx="1">
                  <c:v>13252</c:v>
                </c:pt>
                <c:pt idx="2">
                  <c:v>18643</c:v>
                </c:pt>
                <c:pt idx="3">
                  <c:v>14572</c:v>
                </c:pt>
                <c:pt idx="4">
                  <c:v>124407</c:v>
                </c:pt>
                <c:pt idx="5">
                  <c:v>184495</c:v>
                </c:pt>
                <c:pt idx="6">
                  <c:v>75121</c:v>
                </c:pt>
                <c:pt idx="7">
                  <c:v>60410</c:v>
                </c:pt>
                <c:pt idx="8">
                  <c:v>20237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E-48C2-979A-96A96549C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7941910"/>
        <c:axId val="71473087"/>
      </c:barChart>
      <c:catAx>
        <c:axId val="479419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s-ES"/>
          </a:p>
        </c:txPr>
        <c:crossAx val="71473087"/>
        <c:crosses val="autoZero"/>
        <c:auto val="1"/>
        <c:lblAlgn val="ctr"/>
        <c:lblOffset val="100"/>
        <c:noMultiLvlLbl val="0"/>
      </c:catAx>
      <c:valAx>
        <c:axId val="71473087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es-ES"/>
          </a:p>
        </c:txPr>
        <c:crossAx val="47941910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Ciutats amb més visites
Ciudades con más visitas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2131906807103655"/>
          <c:y val="0.10882747305312047"/>
          <c:w val="0.65820138733497424"/>
          <c:h val="0.75550504706236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Gràfiques_Gráficos2!$E$62</c:f>
              <c:strCache>
                <c:ptCount val="1"/>
                <c:pt idx="0">
                  <c:v>VALENCIA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Gràfiques_Gráficos2!$F$61:$N$61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Gràfiques_Gráficos2!$F$62:$N$62</c:f>
              <c:numCache>
                <c:formatCode>#,###</c:formatCode>
                <c:ptCount val="9"/>
                <c:pt idx="0">
                  <c:v>1884</c:v>
                </c:pt>
                <c:pt idx="1">
                  <c:v>3592</c:v>
                </c:pt>
                <c:pt idx="2">
                  <c:v>5683</c:v>
                </c:pt>
                <c:pt idx="3">
                  <c:v>4282</c:v>
                </c:pt>
                <c:pt idx="4">
                  <c:v>30714</c:v>
                </c:pt>
                <c:pt idx="5">
                  <c:v>5220</c:v>
                </c:pt>
                <c:pt idx="6">
                  <c:v>4785</c:v>
                </c:pt>
                <c:pt idx="7">
                  <c:v>6450</c:v>
                </c:pt>
                <c:pt idx="8" formatCode="#,##0">
                  <c:v>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3-455C-B2D3-728B4B6F4A46}"/>
            </c:ext>
          </c:extLst>
        </c:ser>
        <c:ser>
          <c:idx val="1"/>
          <c:order val="1"/>
          <c:tx>
            <c:strRef>
              <c:f>Gràfiques_Gráficos2!$E$63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Gràfiques_Gráficos2!$F$61:$N$61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Gràfiques_Gráficos2!$F$63:$N$63</c:f>
              <c:numCache>
                <c:formatCode>#,###</c:formatCode>
                <c:ptCount val="9"/>
                <c:pt idx="0">
                  <c:v>1089</c:v>
                </c:pt>
                <c:pt idx="1">
                  <c:v>2095</c:v>
                </c:pt>
                <c:pt idx="2">
                  <c:v>3827</c:v>
                </c:pt>
                <c:pt idx="3">
                  <c:v>3154</c:v>
                </c:pt>
                <c:pt idx="4">
                  <c:v>13998</c:v>
                </c:pt>
                <c:pt idx="5">
                  <c:v>3504</c:v>
                </c:pt>
                <c:pt idx="6">
                  <c:v>1644</c:v>
                </c:pt>
                <c:pt idx="7">
                  <c:v>176</c:v>
                </c:pt>
                <c:pt idx="8" formatCode="#,##0">
                  <c:v>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3-455C-B2D3-728B4B6F4A46}"/>
            </c:ext>
          </c:extLst>
        </c:ser>
        <c:ser>
          <c:idx val="2"/>
          <c:order val="2"/>
          <c:tx>
            <c:strRef>
              <c:f>Gràfiques_Gráficos2!$E$64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Gràfiques_Gráficos2!$F$61:$N$61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Gràfiques_Gráficos2!$F$64:$N$64</c:f>
              <c:numCache>
                <c:formatCode>#,###</c:formatCode>
                <c:ptCount val="9"/>
                <c:pt idx="0">
                  <c:v>885</c:v>
                </c:pt>
                <c:pt idx="1">
                  <c:v>1861</c:v>
                </c:pt>
                <c:pt idx="2">
                  <c:v>1399</c:v>
                </c:pt>
                <c:pt idx="3">
                  <c:v>1559</c:v>
                </c:pt>
                <c:pt idx="4">
                  <c:v>9177</c:v>
                </c:pt>
                <c:pt idx="5">
                  <c:v>2995</c:v>
                </c:pt>
                <c:pt idx="6">
                  <c:v>1522</c:v>
                </c:pt>
                <c:pt idx="7">
                  <c:v>76</c:v>
                </c:pt>
                <c:pt idx="8" formatCode="General">
                  <c:v>143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2A63-455C-B2D3-728B4B6F4A46}"/>
            </c:ext>
          </c:extLst>
        </c:ser>
        <c:ser>
          <c:idx val="3"/>
          <c:order val="3"/>
          <c:tx>
            <c:strRef>
              <c:f>Gràfiques_Gráficos2!$E$65</c:f>
              <c:strCache>
                <c:ptCount val="1"/>
                <c:pt idx="0">
                  <c:v>No disponible*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Gràfiques_Gráficos2!$F$61:$N$61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Gràfiques_Gráficos2!$F$65:$N$65</c:f>
              <c:numCache>
                <c:formatCode>#,###</c:formatCode>
                <c:ptCount val="9"/>
                <c:pt idx="0">
                  <c:v>556</c:v>
                </c:pt>
                <c:pt idx="1">
                  <c:v>782</c:v>
                </c:pt>
                <c:pt idx="2">
                  <c:v>1160</c:v>
                </c:pt>
                <c:pt idx="3">
                  <c:v>1389</c:v>
                </c:pt>
                <c:pt idx="4">
                  <c:v>32766</c:v>
                </c:pt>
                <c:pt idx="5">
                  <c:v>5656</c:v>
                </c:pt>
                <c:pt idx="6">
                  <c:v>4010</c:v>
                </c:pt>
                <c:pt idx="7">
                  <c:v>2566</c:v>
                </c:pt>
                <c:pt idx="8" formatCode="#,##0">
                  <c:v>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3-455C-B2D3-728B4B6F4A46}"/>
            </c:ext>
          </c:extLst>
        </c:ser>
        <c:ser>
          <c:idx val="4"/>
          <c:order val="4"/>
          <c:tx>
            <c:strRef>
              <c:f>Gràfiques_Gráficos2!$E$66</c:f>
              <c:strCache>
                <c:ptCount val="1"/>
                <c:pt idx="0">
                  <c:v>Alicante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Gràfiques_Gráficos2!$F$61:$N$61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numCache>
            </c:numRef>
          </c:cat>
          <c:val>
            <c:numRef>
              <c:f>Gràfiques_Gráficos2!$F$66:$N$66</c:f>
              <c:numCache>
                <c:formatCode>#,###</c:formatCode>
                <c:ptCount val="9"/>
                <c:pt idx="1">
                  <c:v>499</c:v>
                </c:pt>
                <c:pt idx="2">
                  <c:v>834</c:v>
                </c:pt>
                <c:pt idx="3">
                  <c:v>409</c:v>
                </c:pt>
                <c:pt idx="4">
                  <c:v>5855</c:v>
                </c:pt>
                <c:pt idx="5">
                  <c:v>1180</c:v>
                </c:pt>
                <c:pt idx="6">
                  <c:v>1103</c:v>
                </c:pt>
                <c:pt idx="7">
                  <c:v>71</c:v>
                </c:pt>
                <c:pt idx="8" formatCode="General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63-455C-B2D3-728B4B6F4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912787"/>
        <c:axId val="40166764"/>
        <c:extLst/>
      </c:barChart>
      <c:catAx>
        <c:axId val="219127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66764"/>
        <c:crosses val="autoZero"/>
        <c:auto val="1"/>
        <c:lblAlgn val="ctr"/>
        <c:lblOffset val="100"/>
        <c:noMultiLvlLbl val="0"/>
      </c:catAx>
      <c:valAx>
        <c:axId val="401667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912787"/>
        <c:crossesAt val="1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 b="1"/>
              <a:t>Navegadors més utilitzats
Navegadores más utilizados</a:t>
            </a:r>
          </a:p>
        </c:rich>
      </c:tx>
      <c:layout>
        <c:manualLayout>
          <c:xMode val="edge"/>
          <c:yMode val="edge"/>
          <c:x val="0.38014456976661704"/>
          <c:y val="8.17795224075891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151410765429959"/>
          <c:y val="8.1153717868267666E-3"/>
          <c:w val="0.78786966284311843"/>
          <c:h val="0.8195247980301764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Gràfiques_Gráficos2!$H$12</c:f>
              <c:strCache>
                <c:ptCount val="1"/>
                <c:pt idx="0">
                  <c:v>Chrome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Gràfiques_Gráficos2!$I$12:$Q$12</c:f>
              <c:numCache>
                <c:formatCode>#,###</c:formatCode>
                <c:ptCount val="9"/>
                <c:pt idx="0">
                  <c:v>3862</c:v>
                </c:pt>
                <c:pt idx="1">
                  <c:v>7133</c:v>
                </c:pt>
                <c:pt idx="2">
                  <c:v>10759</c:v>
                </c:pt>
                <c:pt idx="3">
                  <c:v>7933</c:v>
                </c:pt>
                <c:pt idx="4">
                  <c:v>84725</c:v>
                </c:pt>
                <c:pt idx="5">
                  <c:v>18366</c:v>
                </c:pt>
                <c:pt idx="6">
                  <c:v>11748</c:v>
                </c:pt>
                <c:pt idx="7">
                  <c:v>10524</c:v>
                </c:pt>
                <c:pt idx="8" formatCode="General">
                  <c:v>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3-4743-BCC8-0043F4820C33}"/>
            </c:ext>
          </c:extLst>
        </c:ser>
        <c:ser>
          <c:idx val="2"/>
          <c:order val="2"/>
          <c:tx>
            <c:strRef>
              <c:f>Gràfiques_Gráficos2!$H$13</c:f>
              <c:strCache>
                <c:ptCount val="1"/>
                <c:pt idx="0">
                  <c:v>Firefox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Gràfiques_Gráficos2!$I$13:$Q$13</c:f>
              <c:numCache>
                <c:formatCode>#,###</c:formatCode>
                <c:ptCount val="9"/>
                <c:pt idx="0">
                  <c:v>1582</c:v>
                </c:pt>
                <c:pt idx="1">
                  <c:v>3107</c:v>
                </c:pt>
                <c:pt idx="2">
                  <c:v>3682</c:v>
                </c:pt>
                <c:pt idx="3">
                  <c:v>2803</c:v>
                </c:pt>
                <c:pt idx="4">
                  <c:v>11236</c:v>
                </c:pt>
                <c:pt idx="5">
                  <c:v>1723</c:v>
                </c:pt>
                <c:pt idx="6">
                  <c:v>1063</c:v>
                </c:pt>
                <c:pt idx="7">
                  <c:v>885</c:v>
                </c:pt>
                <c:pt idx="8" formatCode="General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3-4743-BCC8-0043F4820C33}"/>
            </c:ext>
          </c:extLst>
        </c:ser>
        <c:ser>
          <c:idx val="3"/>
          <c:order val="3"/>
          <c:tx>
            <c:strRef>
              <c:f>Gràfiques_Gráficos2!$H$14</c:f>
              <c:strCache>
                <c:ptCount val="1"/>
                <c:pt idx="0">
                  <c:v>Safari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Gràfiques_Gráficos2!$I$14:$Q$14</c:f>
              <c:numCache>
                <c:formatCode>#,###</c:formatCode>
                <c:ptCount val="9"/>
                <c:pt idx="0">
                  <c:v>1326</c:v>
                </c:pt>
                <c:pt idx="1">
                  <c:v>1279</c:v>
                </c:pt>
                <c:pt idx="2">
                  <c:v>1106</c:v>
                </c:pt>
                <c:pt idx="3">
                  <c:v>884</c:v>
                </c:pt>
                <c:pt idx="4">
                  <c:v>7143</c:v>
                </c:pt>
                <c:pt idx="5">
                  <c:v>3266</c:v>
                </c:pt>
                <c:pt idx="6">
                  <c:v>1585</c:v>
                </c:pt>
                <c:pt idx="7">
                  <c:v>1215</c:v>
                </c:pt>
                <c:pt idx="8" formatCode="General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3-4743-BCC8-0043F4820C33}"/>
            </c:ext>
          </c:extLst>
        </c:ser>
        <c:ser>
          <c:idx val="4"/>
          <c:order val="4"/>
          <c:tx>
            <c:strRef>
              <c:f>Gràfiques_Gráficos2!$H$15</c:f>
              <c:strCache>
                <c:ptCount val="1"/>
                <c:pt idx="0">
                  <c:v>Internet Explorer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Gràfiques_Gráficos2!$I$15:$Q$15</c:f>
              <c:numCache>
                <c:formatCode>#,###</c:formatCode>
                <c:ptCount val="9"/>
                <c:pt idx="0">
                  <c:v>739</c:v>
                </c:pt>
                <c:pt idx="1">
                  <c:v>1150</c:v>
                </c:pt>
                <c:pt idx="2">
                  <c:v>1177</c:v>
                </c:pt>
                <c:pt idx="3">
                  <c:v>758</c:v>
                </c:pt>
                <c:pt idx="4" formatCode="General">
                  <c:v>0</c:v>
                </c:pt>
                <c:pt idx="5">
                  <c:v>290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3-4743-BCC8-0043F4820C33}"/>
            </c:ext>
          </c:extLst>
        </c:ser>
        <c:ser>
          <c:idx val="5"/>
          <c:order val="5"/>
          <c:tx>
            <c:strRef>
              <c:f>Gràfiques_Gráficos2!$H$16</c:f>
              <c:strCache>
                <c:ptCount val="1"/>
                <c:pt idx="0">
                  <c:v>Python-urllib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Gràfiques_Gráficos2!$I$16:$Q$16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 formatCode="#,###">
                  <c:v>1093</c:v>
                </c:pt>
                <c:pt idx="3" formatCode="#,###">
                  <c:v>1380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3-4743-BCC8-0043F4820C33}"/>
            </c:ext>
          </c:extLst>
        </c:ser>
        <c:ser>
          <c:idx val="6"/>
          <c:order val="6"/>
          <c:tx>
            <c:strRef>
              <c:f>Gràfiques_Gráficos2!$H$17</c:f>
              <c:strCache>
                <c:ptCount val="1"/>
                <c:pt idx="0">
                  <c:v>Microsoft Edge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Gràfiques_Gráficos2!$I$17:$Q$17</c:f>
              <c:numCache>
                <c:formatCode>#,###</c:formatCode>
                <c:ptCount val="9"/>
                <c:pt idx="0">
                  <c:v>137</c:v>
                </c:pt>
                <c:pt idx="1">
                  <c:v>350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4294</c:v>
                </c:pt>
                <c:pt idx="5">
                  <c:v>1667</c:v>
                </c:pt>
                <c:pt idx="6" formatCode="General">
                  <c:v>1179</c:v>
                </c:pt>
                <c:pt idx="7" formatCode="General">
                  <c:v>1840</c:v>
                </c:pt>
                <c:pt idx="8" formatCode="General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0-4250-8DCE-FF9BF0975FAC}"/>
            </c:ext>
          </c:extLst>
        </c:ser>
        <c:ser>
          <c:idx val="7"/>
          <c:order val="7"/>
          <c:tx>
            <c:strRef>
              <c:f>Gràfiques_Gráficos2!$H$18</c:f>
              <c:strCache>
                <c:ptCount val="1"/>
                <c:pt idx="0">
                  <c:v>Samsung Internet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Gràfiques_Gráficos2!$I$11:$Q$11</c:f>
              <c:strCache>
                <c:ptCount val="9"/>
                <c:pt idx="0">
                  <c:v>2016***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</c:strCache>
            </c:strRef>
          </c:cat>
          <c:val>
            <c:numRef>
              <c:f>Gràfiques_Gráficos2!$I$18:$Q$18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#">
                  <c:v>5224</c:v>
                </c:pt>
                <c:pt idx="5" formatCode="#,###">
                  <c:v>591</c:v>
                </c:pt>
                <c:pt idx="6">
                  <c:v>203</c:v>
                </c:pt>
                <c:pt idx="7">
                  <c:v>117</c:v>
                </c:pt>
                <c:pt idx="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0-4250-8DCE-FF9BF0975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82806"/>
        <c:axId val="7985358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Gràfiques_Gráficos2!$H$11</c15:sqref>
                        </c15:formulaRef>
                      </c:ext>
                    </c:extLst>
                    <c:strCache>
                      <c:ptCount val="1"/>
                      <c:pt idx="0">
                        <c:v>Navegador més utilitzat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Gràfiques_Gráficos2!$I$11:$Q$11</c15:sqref>
                        </c15:formulaRef>
                      </c:ext>
                    </c:extLst>
                    <c:strCache>
                      <c:ptCount val="9"/>
                      <c:pt idx="0">
                        <c:v>2016***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Gràfiques_Gráficos2!$I$11:$Q$11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0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93-4743-BCC8-0043F4820C33}"/>
                  </c:ext>
                </c:extLst>
              </c15:ser>
            </c15:filteredBarSeries>
          </c:ext>
        </c:extLst>
      </c:barChart>
      <c:catAx>
        <c:axId val="741828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9853581"/>
        <c:crosses val="autoZero"/>
        <c:auto val="1"/>
        <c:lblAlgn val="ctr"/>
        <c:lblOffset val="100"/>
        <c:noMultiLvlLbl val="0"/>
      </c:catAx>
      <c:valAx>
        <c:axId val="798535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82806"/>
        <c:crossesAt val="1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88771916010498686"/>
          <c:y val="0.43870966080172263"/>
          <c:w val="0.10687543448960772"/>
          <c:h val="0.22428169246263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1"/>
  </c:chart>
  <c:spPr>
    <a:gradFill>
      <a:gsLst>
        <a:gs pos="25000">
          <a:srgbClr val="D0DCF0"/>
        </a:gs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adesobertes.gva.es/va/" TargetMode="Externa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4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://portaldadesobertes.gva.es/va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4.png"/><Relationship Id="rId2" Type="http://schemas.openxmlformats.org/officeDocument/2006/relationships/hyperlink" Target="http://portaldadesobertes.gva.es/va/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1</xdr:row>
      <xdr:rowOff>110520</xdr:rowOff>
    </xdr:from>
    <xdr:to>
      <xdr:col>3</xdr:col>
      <xdr:colOff>1314450</xdr:colOff>
      <xdr:row>2</xdr:row>
      <xdr:rowOff>678180</xdr:rowOff>
    </xdr:to>
    <xdr:pic>
      <xdr:nvPicPr>
        <xdr:cNvPr id="2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345E2A-CB1D-43DA-BCCD-CCDB0579D721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691640" y="110520"/>
          <a:ext cx="2701290" cy="712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53340</xdr:colOff>
      <xdr:row>0</xdr:row>
      <xdr:rowOff>0</xdr:rowOff>
    </xdr:from>
    <xdr:to>
      <xdr:col>2</xdr:col>
      <xdr:colOff>7620</xdr:colOff>
      <xdr:row>2</xdr:row>
      <xdr:rowOff>861060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5FBE31-9764-40A9-861D-7F6ABBE1AF76}"/>
            </a:ext>
          </a:extLst>
        </xdr:cNvPr>
        <xdr:cNvPicPr/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228600" y="0"/>
          <a:ext cx="1165860" cy="100584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807069</xdr:colOff>
      <xdr:row>55</xdr:row>
      <xdr:rowOff>165550</xdr:rowOff>
    </xdr:from>
    <xdr:to>
      <xdr:col>19</xdr:col>
      <xdr:colOff>32803</xdr:colOff>
      <xdr:row>98</xdr:row>
      <xdr:rowOff>81731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761536</xdr:colOff>
      <xdr:row>8</xdr:row>
      <xdr:rowOff>7667</xdr:rowOff>
    </xdr:from>
    <xdr:to>
      <xdr:col>18</xdr:col>
      <xdr:colOff>761536</xdr:colOff>
      <xdr:row>52</xdr:row>
      <xdr:rowOff>70531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1230660</xdr:colOff>
      <xdr:row>5</xdr:row>
      <xdr:rowOff>55800</xdr:rowOff>
    </xdr:to>
    <xdr:pic>
      <xdr:nvPicPr>
        <xdr:cNvPr id="2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4DE67B-7AE9-41F2-8CBC-2DD967E3D4C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754880" y="0"/>
          <a:ext cx="4149120" cy="970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997323</xdr:colOff>
      <xdr:row>5</xdr:row>
      <xdr:rowOff>26670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A35A16-6960-46A2-B379-345E79808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69920" y="182880"/>
          <a:ext cx="1789803" cy="758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703080</xdr:colOff>
      <xdr:row>1</xdr:row>
      <xdr:rowOff>110520</xdr:rowOff>
    </xdr:from>
    <xdr:to>
      <xdr:col>4</xdr:col>
      <xdr:colOff>567690</xdr:colOff>
      <xdr:row>2</xdr:row>
      <xdr:rowOff>840740</xdr:rowOff>
    </xdr:to>
    <xdr:pic>
      <xdr:nvPicPr>
        <xdr:cNvPr id="2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A0CC8-2A81-4FB6-A008-FD33F1BDA2D7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097540" y="110520"/>
          <a:ext cx="2977380" cy="8877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34290</xdr:colOff>
      <xdr:row>2</xdr:row>
      <xdr:rowOff>720090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FD3576-BB7D-4811-BF32-E645F9BE4527}"/>
            </a:ext>
          </a:extLst>
        </xdr:cNvPr>
        <xdr:cNvPicPr/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5260" y="144780"/>
          <a:ext cx="1242060" cy="7162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703080</xdr:colOff>
      <xdr:row>1</xdr:row>
      <xdr:rowOff>110520</xdr:rowOff>
    </xdr:from>
    <xdr:to>
      <xdr:col>5</xdr:col>
      <xdr:colOff>259390</xdr:colOff>
      <xdr:row>2</xdr:row>
      <xdr:rowOff>1028520</xdr:rowOff>
    </xdr:to>
    <xdr:pic>
      <xdr:nvPicPr>
        <xdr:cNvPr id="3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097540" y="110520"/>
          <a:ext cx="4111800" cy="10627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298450</xdr:colOff>
      <xdr:row>2</xdr:row>
      <xdr:rowOff>755650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1708EC5-20E7-DD0F-999F-5D5D4393ECD4}"/>
            </a:ext>
          </a:extLst>
        </xdr:cNvPr>
        <xdr:cNvPicPr/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5260" y="144780"/>
          <a:ext cx="1516380" cy="75438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703080</xdr:colOff>
      <xdr:row>1</xdr:row>
      <xdr:rowOff>110520</xdr:rowOff>
    </xdr:from>
    <xdr:to>
      <xdr:col>5</xdr:col>
      <xdr:colOff>258120</xdr:colOff>
      <xdr:row>2</xdr:row>
      <xdr:rowOff>1028520</xdr:rowOff>
    </xdr:to>
    <xdr:pic>
      <xdr:nvPicPr>
        <xdr:cNvPr id="3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135520" y="110520"/>
          <a:ext cx="4244400" cy="1063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298836</xdr:colOff>
      <xdr:row>2</xdr:row>
      <xdr:rowOff>755970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5DA063-FA55-9BA4-D0BD-049E038D8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" y="144780"/>
          <a:ext cx="1518036" cy="7559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703080</xdr:colOff>
      <xdr:row>1</xdr:row>
      <xdr:rowOff>110520</xdr:rowOff>
    </xdr:from>
    <xdr:to>
      <xdr:col>5</xdr:col>
      <xdr:colOff>729360</xdr:colOff>
      <xdr:row>2</xdr:row>
      <xdr:rowOff>1028520</xdr:rowOff>
    </xdr:to>
    <xdr:pic>
      <xdr:nvPicPr>
        <xdr:cNvPr id="5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135520" y="110520"/>
          <a:ext cx="4244400" cy="1063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298836</xdr:colOff>
      <xdr:row>2</xdr:row>
      <xdr:rowOff>755970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97048E-3060-ECA6-F393-6E99AC971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260" y="144780"/>
          <a:ext cx="1518036" cy="75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775440</xdr:colOff>
      <xdr:row>1</xdr:row>
      <xdr:rowOff>110520</xdr:rowOff>
    </xdr:from>
    <xdr:to>
      <xdr:col>3</xdr:col>
      <xdr:colOff>2860540</xdr:colOff>
      <xdr:row>2</xdr:row>
      <xdr:rowOff>1028520</xdr:rowOff>
    </xdr:to>
    <xdr:pic>
      <xdr:nvPicPr>
        <xdr:cNvPr id="7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916360" y="110520"/>
          <a:ext cx="4244400" cy="1063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68579</xdr:colOff>
      <xdr:row>2</xdr:row>
      <xdr:rowOff>0</xdr:rowOff>
    </xdr:from>
    <xdr:to>
      <xdr:col>2</xdr:col>
      <xdr:colOff>1007</xdr:colOff>
      <xdr:row>2</xdr:row>
      <xdr:rowOff>758190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BDAB56-5F9B-BB29-D03B-B9893995F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39" y="144780"/>
          <a:ext cx="1789803" cy="758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2013120</xdr:colOff>
      <xdr:row>2</xdr:row>
      <xdr:rowOff>60840</xdr:rowOff>
    </xdr:from>
    <xdr:to>
      <xdr:col>1</xdr:col>
      <xdr:colOff>2539800</xdr:colOff>
      <xdr:row>2</xdr:row>
      <xdr:rowOff>820800</xdr:rowOff>
    </xdr:to>
    <xdr:pic>
      <xdr:nvPicPr>
        <xdr:cNvPr id="8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013120" y="369360"/>
          <a:ext cx="3032280" cy="75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1789803</xdr:colOff>
      <xdr:row>2</xdr:row>
      <xdr:rowOff>613410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EDCF54-504F-4649-9CC9-FD88F0240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"/>
          <a:ext cx="1789803" cy="7581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2044800</xdr:colOff>
      <xdr:row>2</xdr:row>
      <xdr:rowOff>61920</xdr:rowOff>
    </xdr:from>
    <xdr:to>
      <xdr:col>1</xdr:col>
      <xdr:colOff>2648520</xdr:colOff>
      <xdr:row>2</xdr:row>
      <xdr:rowOff>841320</xdr:rowOff>
    </xdr:to>
    <xdr:pic>
      <xdr:nvPicPr>
        <xdr:cNvPr id="9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044800" y="370440"/>
          <a:ext cx="3109320" cy="779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1789803</xdr:colOff>
      <xdr:row>2</xdr:row>
      <xdr:rowOff>613410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D27221-6F74-4402-8C6C-DDF27ACE1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0020"/>
          <a:ext cx="1789803" cy="7581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1546920</xdr:colOff>
      <xdr:row>12</xdr:row>
      <xdr:rowOff>48960</xdr:rowOff>
    </xdr:from>
    <xdr:to>
      <xdr:col>9</xdr:col>
      <xdr:colOff>485280</xdr:colOff>
      <xdr:row>47</xdr:row>
      <xdr:rowOff>20160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443520</xdr:colOff>
      <xdr:row>3</xdr:row>
      <xdr:rowOff>21240</xdr:rowOff>
    </xdr:from>
    <xdr:to>
      <xdr:col>4</xdr:col>
      <xdr:colOff>2017080</xdr:colOff>
      <xdr:row>8</xdr:row>
      <xdr:rowOff>77040</xdr:rowOff>
    </xdr:to>
    <xdr:pic>
      <xdr:nvPicPr>
        <xdr:cNvPr id="11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395600" y="623160"/>
          <a:ext cx="4226400" cy="105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20520</xdr:colOff>
      <xdr:row>49</xdr:row>
      <xdr:rowOff>90000</xdr:rowOff>
    </xdr:from>
    <xdr:to>
      <xdr:col>9</xdr:col>
      <xdr:colOff>765000</xdr:colOff>
      <xdr:row>86</xdr:row>
      <xdr:rowOff>57600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45720</xdr:colOff>
      <xdr:row>89</xdr:row>
      <xdr:rowOff>30480</xdr:rowOff>
    </xdr:from>
    <xdr:to>
      <xdr:col>9</xdr:col>
      <xdr:colOff>31680</xdr:colOff>
      <xdr:row>126</xdr:row>
      <xdr:rowOff>54000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135720</xdr:colOff>
      <xdr:row>128</xdr:row>
      <xdr:rowOff>105480</xdr:rowOff>
    </xdr:from>
    <xdr:to>
      <xdr:col>8</xdr:col>
      <xdr:colOff>2335320</xdr:colOff>
      <xdr:row>153</xdr:row>
      <xdr:rowOff>40320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189603</xdr:colOff>
      <xdr:row>7</xdr:row>
      <xdr:rowOff>26670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F22532-4E45-4728-AC0A-6B0287B49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40280" y="548640"/>
          <a:ext cx="1789803" cy="7581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C6463-4939-48C5-AF62-2F5C04A7C24C}" name="Tabla1" displayName="Tabla1" ref="J17:K42" totalsRowShown="0" headerRowDxfId="6" dataDxfId="4" headerRowBorderDxfId="5" tableBorderDxfId="3" totalsRowBorderDxfId="2">
  <tableColumns count="2">
    <tableColumn id="1" xr3:uid="{F91B8A54-5BC6-4B19-9DB7-47A9C4BD7924}" name="Catàleg de dades" dataDxfId="1"/>
    <tableColumn id="2" xr3:uid="{449E9AB6-8FC9-4FF0-9406-84F03C4ECD96}" name="Datas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E72C-D267-4D39-B182-E4EE4996695F}">
  <dimension ref="A1:IX1048576"/>
  <sheetViews>
    <sheetView tabSelected="1" topLeftCell="A2" zoomScale="73" zoomScaleNormal="73" workbookViewId="0">
      <selection activeCell="E50" sqref="E50"/>
    </sheetView>
  </sheetViews>
  <sheetFormatPr baseColWidth="10" defaultColWidth="8.7109375" defaultRowHeight="15" x14ac:dyDescent="0.25"/>
  <cols>
    <col min="1" max="1" width="2.5703125" style="142" customWidth="1"/>
    <col min="2" max="2" width="17.7109375" style="120" customWidth="1"/>
    <col min="3" max="3" width="24.7109375" style="120" customWidth="1"/>
    <col min="4" max="5" width="20.85546875" style="120" customWidth="1"/>
    <col min="6" max="6" width="26" style="120" customWidth="1"/>
    <col min="7" max="8" width="20.85546875" style="120" customWidth="1"/>
    <col min="9" max="9" width="22.28515625" style="120" customWidth="1"/>
    <col min="10" max="15" width="20.85546875" style="120" customWidth="1"/>
    <col min="16" max="16" width="20.7109375" style="120" customWidth="1"/>
    <col min="17" max="258" width="8.7109375" style="120"/>
    <col min="259" max="16384" width="8.7109375" style="142"/>
  </cols>
  <sheetData>
    <row r="1" spans="2:16" ht="12.75" hidden="1" customHeight="1" x14ac:dyDescent="0.25">
      <c r="B1" s="2"/>
      <c r="C1" s="2"/>
    </row>
    <row r="2" spans="2:16" ht="11.65" customHeight="1" x14ac:dyDescent="0.25">
      <c r="B2" s="2"/>
      <c r="C2" s="2"/>
    </row>
    <row r="3" spans="2:16" ht="83.1" customHeight="1" thickBot="1" x14ac:dyDescent="0.3">
      <c r="B3" s="2"/>
      <c r="C3" s="2"/>
      <c r="D3" s="120" t="s">
        <v>0</v>
      </c>
    </row>
    <row r="4" spans="2:16" ht="60.2" customHeight="1" thickTop="1" thickBot="1" x14ac:dyDescent="0.3">
      <c r="B4" s="251" t="s">
        <v>585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75.75" customHeight="1" thickTop="1" thickBot="1" x14ac:dyDescent="0.3">
      <c r="B5" s="252"/>
      <c r="C5" s="252"/>
      <c r="D5" s="3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2:16" ht="30" customHeight="1" thickTop="1" thickBot="1" x14ac:dyDescent="0.3">
      <c r="B6" s="253" t="s">
        <v>15</v>
      </c>
      <c r="C6" s="253"/>
      <c r="D6" s="2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1.35" customHeight="1" thickTop="1" x14ac:dyDescent="0.25">
      <c r="B7" s="250" t="s">
        <v>16</v>
      </c>
      <c r="C7" s="250"/>
      <c r="D7" s="8">
        <v>4103</v>
      </c>
      <c r="E7" s="8">
        <v>4293</v>
      </c>
      <c r="F7" s="8">
        <v>3964</v>
      </c>
      <c r="G7" s="9"/>
      <c r="H7" s="9"/>
      <c r="I7" s="9"/>
      <c r="J7" s="9"/>
      <c r="K7" s="9"/>
      <c r="L7" s="9"/>
      <c r="M7" s="9"/>
      <c r="N7" s="9"/>
      <c r="O7" s="8"/>
      <c r="P7" s="10">
        <f>SUM(D7:O7)</f>
        <v>12360</v>
      </c>
    </row>
    <row r="8" spans="2:16" ht="44.85" customHeight="1" x14ac:dyDescent="0.25">
      <c r="B8" s="254" t="s">
        <v>17</v>
      </c>
      <c r="C8" s="254"/>
      <c r="D8" s="11">
        <v>2524</v>
      </c>
      <c r="E8" s="11">
        <v>2063</v>
      </c>
      <c r="F8" s="11">
        <v>3290</v>
      </c>
      <c r="G8" s="11"/>
      <c r="H8" s="11"/>
      <c r="I8" s="11"/>
      <c r="J8" s="11"/>
      <c r="K8" s="11"/>
      <c r="L8" s="11"/>
      <c r="M8" s="11"/>
      <c r="N8" s="11"/>
      <c r="O8" s="11"/>
      <c r="P8" s="12">
        <f>SUM(D8:O8)</f>
        <v>7877</v>
      </c>
    </row>
    <row r="9" spans="2:16" ht="44.85" customHeight="1" x14ac:dyDescent="0.25">
      <c r="B9" s="255" t="s">
        <v>18</v>
      </c>
      <c r="C9" s="255"/>
      <c r="D9" s="8">
        <v>3023</v>
      </c>
      <c r="E9" s="8">
        <v>3131</v>
      </c>
      <c r="F9" s="8">
        <v>3028</v>
      </c>
      <c r="G9" s="8"/>
      <c r="H9" s="8"/>
      <c r="I9" s="8"/>
      <c r="J9" s="8"/>
      <c r="K9" s="8"/>
      <c r="L9" s="8"/>
      <c r="M9" s="8"/>
      <c r="N9" s="8"/>
      <c r="O9" s="8"/>
      <c r="P9" s="12">
        <f>SUM(D9:O9)</f>
        <v>9182</v>
      </c>
    </row>
    <row r="10" spans="2:16" ht="44.85" customHeight="1" x14ac:dyDescent="0.25">
      <c r="B10" s="254" t="s">
        <v>19</v>
      </c>
      <c r="C10" s="254"/>
      <c r="D10" s="11">
        <v>1827</v>
      </c>
      <c r="E10" s="11">
        <v>1542</v>
      </c>
      <c r="F10" s="11">
        <v>2596</v>
      </c>
      <c r="G10" s="11"/>
      <c r="H10" s="11"/>
      <c r="I10" s="11"/>
      <c r="J10" s="11"/>
      <c r="K10" s="11"/>
      <c r="L10" s="11"/>
      <c r="M10" s="11"/>
      <c r="N10" s="11"/>
      <c r="O10" s="11"/>
      <c r="P10" s="12">
        <f>SUM(D10:O10)</f>
        <v>5965</v>
      </c>
    </row>
    <row r="11" spans="2:16" ht="31.35" customHeight="1" x14ac:dyDescent="0.25">
      <c r="B11" s="250" t="s">
        <v>20</v>
      </c>
      <c r="C11" s="250"/>
      <c r="D11" s="8">
        <v>18471</v>
      </c>
      <c r="E11" s="8">
        <v>18718</v>
      </c>
      <c r="F11" s="8">
        <v>14391</v>
      </c>
      <c r="G11" s="8"/>
      <c r="H11" s="8"/>
      <c r="I11" s="8"/>
      <c r="J11" s="8"/>
      <c r="K11" s="8"/>
      <c r="L11" s="8"/>
      <c r="M11" s="8"/>
      <c r="N11" s="8"/>
      <c r="O11" s="8"/>
      <c r="P11" s="12">
        <f t="shared" ref="P11:P12" si="0">SUM(D11:O11)</f>
        <v>51580</v>
      </c>
    </row>
    <row r="12" spans="2:16" ht="31.35" customHeight="1" x14ac:dyDescent="0.25">
      <c r="B12" s="256" t="s">
        <v>21</v>
      </c>
      <c r="C12" s="256"/>
      <c r="D12" s="11">
        <v>4667</v>
      </c>
      <c r="E12" s="11">
        <v>3841</v>
      </c>
      <c r="F12" s="11">
        <v>4563</v>
      </c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si="0"/>
        <v>13071</v>
      </c>
    </row>
    <row r="13" spans="2:16" ht="31.35" customHeight="1" x14ac:dyDescent="0.25">
      <c r="B13" s="250" t="s">
        <v>22</v>
      </c>
      <c r="C13" s="250"/>
      <c r="D13" s="13">
        <v>6.11</v>
      </c>
      <c r="E13" s="13">
        <v>5.98</v>
      </c>
      <c r="F13" s="14">
        <v>4.75</v>
      </c>
      <c r="G13" s="14"/>
      <c r="H13" s="14"/>
      <c r="I13" s="14"/>
      <c r="J13" s="14"/>
      <c r="K13" s="14"/>
      <c r="L13" s="14"/>
      <c r="M13" s="14"/>
      <c r="N13" s="14"/>
      <c r="O13" s="14"/>
      <c r="P13" s="15">
        <f t="shared" ref="P13:P18" si="1">AVERAGE(D13:O13)</f>
        <v>5.6133333333333333</v>
      </c>
    </row>
    <row r="14" spans="2:16" ht="44.85" customHeight="1" x14ac:dyDescent="0.25">
      <c r="B14" s="257" t="s">
        <v>23</v>
      </c>
      <c r="C14" s="257"/>
      <c r="D14" s="16">
        <v>2.5499999999999998</v>
      </c>
      <c r="E14" s="16">
        <v>2.4900000000000002</v>
      </c>
      <c r="F14" s="17">
        <v>1.76</v>
      </c>
      <c r="G14" s="17"/>
      <c r="H14" s="17"/>
      <c r="I14" s="17"/>
      <c r="J14" s="17"/>
      <c r="K14" s="17"/>
      <c r="L14" s="17"/>
      <c r="M14" s="17"/>
      <c r="N14" s="17"/>
      <c r="O14" s="17"/>
      <c r="P14" s="15">
        <f t="shared" si="1"/>
        <v>2.2666666666666666</v>
      </c>
    </row>
    <row r="15" spans="2:16" ht="44.85" customHeight="1" x14ac:dyDescent="0.25">
      <c r="B15" s="250" t="s">
        <v>24</v>
      </c>
      <c r="C15" s="250"/>
      <c r="D15" s="18">
        <v>4.6296296296296294E-5</v>
      </c>
      <c r="E15" s="18">
        <v>6.9444444444444444E-5</v>
      </c>
      <c r="F15" s="18">
        <v>5.7870370370370366E-5</v>
      </c>
      <c r="G15" s="18"/>
      <c r="H15" s="18"/>
      <c r="I15" s="18"/>
      <c r="J15" s="18"/>
      <c r="K15" s="18"/>
      <c r="L15" s="18"/>
      <c r="M15" s="18"/>
      <c r="N15" s="18"/>
      <c r="O15" s="18"/>
      <c r="P15" s="19">
        <f t="shared" si="1"/>
        <v>5.7870370370370373E-5</v>
      </c>
    </row>
    <row r="16" spans="2:16" ht="44.85" customHeight="1" x14ac:dyDescent="0.25">
      <c r="B16" s="256" t="s">
        <v>25</v>
      </c>
      <c r="C16" s="256"/>
      <c r="D16" s="20">
        <v>3.4722222222222224E-4</v>
      </c>
      <c r="E16" s="20">
        <v>3.1250000000000001E-4</v>
      </c>
      <c r="F16" s="20">
        <v>2.7777777777777778E-4</v>
      </c>
      <c r="G16" s="20"/>
      <c r="H16" s="20"/>
      <c r="I16" s="20"/>
      <c r="J16" s="20"/>
      <c r="K16" s="20"/>
      <c r="L16" s="20"/>
      <c r="M16" s="20"/>
      <c r="N16" s="20"/>
      <c r="O16" s="20"/>
      <c r="P16" s="19">
        <f t="shared" si="1"/>
        <v>3.1250000000000001E-4</v>
      </c>
    </row>
    <row r="17" spans="2:16" ht="44.85" customHeight="1" x14ac:dyDescent="0.25">
      <c r="B17" s="250" t="s">
        <v>26</v>
      </c>
      <c r="C17" s="250"/>
      <c r="D17" s="21">
        <v>0.5806</v>
      </c>
      <c r="E17" s="21">
        <v>0.59330000000000005</v>
      </c>
      <c r="F17" s="22">
        <v>0.55349999999999999</v>
      </c>
      <c r="G17" s="22"/>
      <c r="H17" s="22"/>
      <c r="I17" s="22"/>
      <c r="J17" s="22"/>
      <c r="K17" s="22"/>
      <c r="L17" s="22"/>
      <c r="M17" s="22"/>
      <c r="N17" s="22"/>
      <c r="O17" s="22"/>
      <c r="P17" s="23">
        <f t="shared" si="1"/>
        <v>0.57580000000000009</v>
      </c>
    </row>
    <row r="18" spans="2:16" ht="44.85" customHeight="1" x14ac:dyDescent="0.25">
      <c r="B18" s="257" t="s">
        <v>27</v>
      </c>
      <c r="C18" s="257"/>
      <c r="D18" s="24">
        <v>0.60899999999999999</v>
      </c>
      <c r="E18" s="24">
        <v>0.62090000000000001</v>
      </c>
      <c r="F18" s="25">
        <v>0.58720000000000006</v>
      </c>
      <c r="G18" s="25"/>
      <c r="H18" s="25"/>
      <c r="I18" s="25"/>
      <c r="J18" s="25"/>
      <c r="K18" s="25"/>
      <c r="L18" s="25"/>
      <c r="M18" s="25"/>
      <c r="N18" s="25"/>
      <c r="O18" s="25"/>
      <c r="P18" s="23">
        <f t="shared" si="1"/>
        <v>0.60570000000000002</v>
      </c>
    </row>
    <row r="19" spans="2:16" ht="44.85" customHeight="1" x14ac:dyDescent="0.25">
      <c r="B19" s="255" t="s">
        <v>28</v>
      </c>
      <c r="C19" s="255"/>
      <c r="D19" s="8">
        <v>2794</v>
      </c>
      <c r="E19" s="8">
        <v>2879</v>
      </c>
      <c r="F19" s="8">
        <v>2767</v>
      </c>
      <c r="G19" s="8"/>
      <c r="H19" s="8"/>
      <c r="I19" s="8"/>
      <c r="J19" s="8"/>
      <c r="K19" s="8"/>
      <c r="L19" s="8"/>
      <c r="M19" s="8"/>
      <c r="N19" s="8"/>
      <c r="O19" s="8"/>
      <c r="P19" s="12">
        <f>SUM(D19:O19)</f>
        <v>8440</v>
      </c>
    </row>
    <row r="20" spans="2:16" ht="44.85" customHeight="1" x14ac:dyDescent="0.25">
      <c r="B20" s="259" t="s">
        <v>29</v>
      </c>
      <c r="C20" s="259"/>
      <c r="D20" s="11">
        <v>1657</v>
      </c>
      <c r="E20" s="11">
        <v>1349</v>
      </c>
      <c r="F20" s="11">
        <v>2394</v>
      </c>
      <c r="G20" s="11"/>
      <c r="H20" s="11"/>
      <c r="I20" s="11"/>
      <c r="J20" s="11"/>
      <c r="K20" s="11"/>
      <c r="L20" s="11"/>
      <c r="M20" s="11"/>
      <c r="N20" s="11"/>
      <c r="O20" s="11"/>
      <c r="P20" s="12">
        <f>SUM(D20:O20)</f>
        <v>5400</v>
      </c>
    </row>
    <row r="21" spans="2:16" ht="44.85" customHeight="1" x14ac:dyDescent="0.25">
      <c r="B21" s="260" t="s">
        <v>30</v>
      </c>
      <c r="C21" s="260"/>
      <c r="D21" s="26">
        <v>43854</v>
      </c>
      <c r="E21" s="26">
        <v>43888</v>
      </c>
      <c r="F21" s="26">
        <v>43894</v>
      </c>
      <c r="G21" s="26"/>
      <c r="H21" s="26"/>
      <c r="I21" s="26"/>
      <c r="J21" s="26"/>
      <c r="K21" s="26"/>
      <c r="L21" s="26"/>
      <c r="M21" s="26"/>
      <c r="N21" s="26"/>
      <c r="O21" s="26"/>
      <c r="P21" s="27">
        <f>D21</f>
        <v>43854</v>
      </c>
    </row>
    <row r="22" spans="2:16" ht="72" customHeight="1" thickBot="1" x14ac:dyDescent="0.3">
      <c r="B22" s="261" t="s">
        <v>31</v>
      </c>
      <c r="C22" s="261"/>
      <c r="D22" s="8">
        <v>224</v>
      </c>
      <c r="E22" s="8">
        <v>194</v>
      </c>
      <c r="F22" s="8">
        <v>197</v>
      </c>
      <c r="G22" s="8"/>
      <c r="H22" s="8"/>
      <c r="I22" s="28"/>
      <c r="J22" s="29"/>
      <c r="K22" s="28"/>
      <c r="L22" s="28"/>
      <c r="M22" s="28"/>
      <c r="N22" s="28"/>
      <c r="O22" s="28"/>
      <c r="P22" s="30">
        <f>MAX(D22:O22)</f>
        <v>224</v>
      </c>
    </row>
    <row r="23" spans="2:16" ht="44.85" customHeight="1" thickTop="1" x14ac:dyDescent="0.25">
      <c r="B23" s="262" t="s">
        <v>32</v>
      </c>
      <c r="C23" s="262"/>
      <c r="D23" s="31">
        <v>43854</v>
      </c>
      <c r="E23" s="31">
        <v>43889</v>
      </c>
      <c r="F23" s="31">
        <v>43894</v>
      </c>
      <c r="G23" s="31"/>
      <c r="H23" s="31"/>
      <c r="I23" s="31"/>
      <c r="J23" s="31"/>
      <c r="K23" s="31"/>
      <c r="L23" s="31"/>
      <c r="M23" s="31"/>
      <c r="N23" s="31"/>
      <c r="O23" s="31"/>
      <c r="P23" s="27">
        <v>43894</v>
      </c>
    </row>
    <row r="24" spans="2:16" ht="73.349999999999994" customHeight="1" thickBot="1" x14ac:dyDescent="0.3">
      <c r="B24" s="263" t="s">
        <v>33</v>
      </c>
      <c r="C24" s="263"/>
      <c r="D24" s="33">
        <v>133</v>
      </c>
      <c r="E24" s="33">
        <v>109</v>
      </c>
      <c r="F24" s="33">
        <v>718</v>
      </c>
      <c r="G24" s="33"/>
      <c r="H24" s="33"/>
      <c r="I24" s="33"/>
      <c r="J24" s="33"/>
      <c r="K24" s="33"/>
      <c r="L24" s="33"/>
      <c r="M24" s="33"/>
      <c r="N24" s="33"/>
      <c r="O24" s="33"/>
      <c r="P24" s="34">
        <v>718</v>
      </c>
    </row>
    <row r="25" spans="2:16" ht="58.9" customHeight="1" thickTop="1" thickBot="1" x14ac:dyDescent="0.3">
      <c r="B25" s="264" t="s">
        <v>34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2:16" ht="73.349999999999994" customHeight="1" thickTop="1" thickBot="1" x14ac:dyDescent="0.3">
      <c r="B26" s="265" t="s">
        <v>35</v>
      </c>
      <c r="C26" s="35" t="s">
        <v>36</v>
      </c>
      <c r="D26" s="232" t="s">
        <v>593</v>
      </c>
      <c r="E26" s="233" t="s">
        <v>562</v>
      </c>
      <c r="F26" s="233" t="s">
        <v>600</v>
      </c>
      <c r="G26" s="37"/>
      <c r="H26" s="37"/>
      <c r="I26" s="37"/>
      <c r="J26" s="37"/>
      <c r="K26" s="37"/>
      <c r="L26" s="37"/>
      <c r="M26" s="37"/>
      <c r="N26" s="37"/>
      <c r="O26" s="245"/>
      <c r="P26" s="233" t="s">
        <v>600</v>
      </c>
    </row>
    <row r="27" spans="2:16" ht="73.349999999999994" customHeight="1" thickTop="1" thickBot="1" x14ac:dyDescent="0.3">
      <c r="B27" s="265"/>
      <c r="C27" s="39" t="s">
        <v>39</v>
      </c>
      <c r="D27" s="33">
        <v>558</v>
      </c>
      <c r="E27" s="40">
        <v>766</v>
      </c>
      <c r="F27" s="40">
        <v>1883</v>
      </c>
      <c r="G27" s="40"/>
      <c r="H27" s="40"/>
      <c r="I27" s="40"/>
      <c r="J27" s="40"/>
      <c r="K27" s="40"/>
      <c r="L27" s="40"/>
      <c r="M27" s="40"/>
      <c r="N27" s="40"/>
      <c r="O27" s="246"/>
      <c r="P27" s="40">
        <v>1883</v>
      </c>
    </row>
    <row r="28" spans="2:16" ht="73.349999999999994" customHeight="1" thickTop="1" thickBot="1" x14ac:dyDescent="0.3">
      <c r="B28" s="258" t="s">
        <v>40</v>
      </c>
      <c r="C28" s="35" t="s">
        <v>36</v>
      </c>
      <c r="D28" s="233" t="s">
        <v>553</v>
      </c>
      <c r="E28" s="233" t="s">
        <v>553</v>
      </c>
      <c r="F28" s="233" t="s">
        <v>562</v>
      </c>
      <c r="G28" s="37"/>
      <c r="H28" s="37"/>
      <c r="I28" s="37"/>
      <c r="J28" s="37"/>
      <c r="K28" s="37"/>
      <c r="L28" s="37"/>
      <c r="M28" s="37"/>
      <c r="N28" s="37"/>
      <c r="O28" s="245"/>
      <c r="P28" s="248" t="s">
        <v>46</v>
      </c>
    </row>
    <row r="29" spans="2:16" ht="73.349999999999994" customHeight="1" thickTop="1" thickBot="1" x14ac:dyDescent="0.3">
      <c r="B29" s="258"/>
      <c r="C29" s="42" t="s">
        <v>42</v>
      </c>
      <c r="D29" s="33">
        <v>317</v>
      </c>
      <c r="E29" s="40">
        <v>241</v>
      </c>
      <c r="F29" s="40">
        <v>610</v>
      </c>
      <c r="G29" s="40"/>
      <c r="H29" s="40"/>
      <c r="I29" s="40"/>
      <c r="J29" s="40"/>
      <c r="K29" s="40"/>
      <c r="L29" s="40"/>
      <c r="M29" s="40"/>
      <c r="N29" s="40"/>
      <c r="O29" s="246"/>
      <c r="P29" s="247">
        <v>762</v>
      </c>
    </row>
    <row r="30" spans="2:16" ht="73.349999999999994" customHeight="1" thickTop="1" x14ac:dyDescent="0.25">
      <c r="B30" s="267" t="s">
        <v>43</v>
      </c>
      <c r="C30" s="39" t="s">
        <v>36</v>
      </c>
      <c r="D30" s="233" t="s">
        <v>46</v>
      </c>
      <c r="E30" s="233" t="s">
        <v>46</v>
      </c>
      <c r="F30" s="233" t="s">
        <v>601</v>
      </c>
      <c r="G30" s="37"/>
      <c r="H30" s="37"/>
      <c r="I30" s="37"/>
      <c r="J30" s="37"/>
      <c r="K30" s="37"/>
      <c r="L30" s="37"/>
      <c r="M30" s="37"/>
      <c r="N30" s="37"/>
      <c r="O30" s="245"/>
      <c r="P30" s="248" t="s">
        <v>603</v>
      </c>
    </row>
    <row r="31" spans="2:16" ht="73.349999999999994" customHeight="1" thickBot="1" x14ac:dyDescent="0.3">
      <c r="B31" s="267"/>
      <c r="C31" s="43" t="s">
        <v>42</v>
      </c>
      <c r="D31" s="33">
        <v>289</v>
      </c>
      <c r="E31" s="33">
        <v>237</v>
      </c>
      <c r="F31" s="40">
        <v>276</v>
      </c>
      <c r="G31" s="40"/>
      <c r="H31" s="40"/>
      <c r="I31" s="40"/>
      <c r="J31" s="40"/>
      <c r="K31" s="40"/>
      <c r="L31" s="40"/>
      <c r="M31" s="40"/>
      <c r="N31" s="40"/>
      <c r="O31" s="246"/>
      <c r="P31" s="247">
        <v>558</v>
      </c>
    </row>
    <row r="32" spans="2:16" ht="95.65" customHeight="1" thickTop="1" thickBot="1" x14ac:dyDescent="0.3">
      <c r="B32" s="258" t="s">
        <v>45</v>
      </c>
      <c r="C32" s="35" t="s">
        <v>36</v>
      </c>
      <c r="D32" s="233" t="s">
        <v>594</v>
      </c>
      <c r="E32" s="233" t="s">
        <v>597</v>
      </c>
      <c r="F32" s="233" t="s">
        <v>46</v>
      </c>
      <c r="G32" s="37"/>
      <c r="H32" s="37"/>
      <c r="I32" s="37"/>
      <c r="J32" s="37"/>
      <c r="K32" s="37"/>
      <c r="L32" s="37"/>
      <c r="M32" s="37"/>
      <c r="N32" s="37"/>
      <c r="O32" s="245"/>
      <c r="P32" s="248" t="s">
        <v>604</v>
      </c>
    </row>
    <row r="33" spans="2:16" ht="96.4" customHeight="1" thickTop="1" thickBot="1" x14ac:dyDescent="0.3">
      <c r="B33" s="258"/>
      <c r="C33" s="42" t="s">
        <v>42</v>
      </c>
      <c r="D33" s="33">
        <v>140</v>
      </c>
      <c r="E33" s="33">
        <v>233</v>
      </c>
      <c r="F33" s="40">
        <v>236</v>
      </c>
      <c r="G33" s="40"/>
      <c r="H33" s="40"/>
      <c r="I33" s="40"/>
      <c r="J33" s="40"/>
      <c r="K33" s="40"/>
      <c r="L33" s="40"/>
      <c r="M33" s="40"/>
      <c r="N33" s="40"/>
      <c r="O33" s="246"/>
      <c r="P33" s="247">
        <v>558</v>
      </c>
    </row>
    <row r="34" spans="2:16" ht="97.5" customHeight="1" thickTop="1" x14ac:dyDescent="0.25">
      <c r="B34" s="267" t="s">
        <v>48</v>
      </c>
      <c r="C34" s="39" t="s">
        <v>36</v>
      </c>
      <c r="D34" s="233" t="s">
        <v>595</v>
      </c>
      <c r="E34" s="233" t="s">
        <v>598</v>
      </c>
      <c r="F34" s="233" t="s">
        <v>602</v>
      </c>
      <c r="G34" s="37"/>
      <c r="H34" s="37"/>
      <c r="I34" s="37"/>
      <c r="J34" s="37"/>
      <c r="K34" s="37"/>
      <c r="L34" s="37"/>
      <c r="M34" s="37"/>
      <c r="N34" s="37"/>
      <c r="O34" s="245"/>
      <c r="P34" s="233" t="s">
        <v>601</v>
      </c>
    </row>
    <row r="35" spans="2:16" ht="73.349999999999994" customHeight="1" thickBot="1" x14ac:dyDescent="0.3">
      <c r="B35" s="267"/>
      <c r="C35" s="43" t="s">
        <v>42</v>
      </c>
      <c r="D35" s="33">
        <v>125</v>
      </c>
      <c r="E35" s="40">
        <v>210</v>
      </c>
      <c r="F35" s="40">
        <v>139</v>
      </c>
      <c r="G35" s="40"/>
      <c r="H35" s="40"/>
      <c r="I35" s="40"/>
      <c r="J35" s="40"/>
      <c r="K35" s="40"/>
      <c r="L35" s="40"/>
      <c r="M35" s="40"/>
      <c r="N35" s="40"/>
      <c r="O35" s="249"/>
      <c r="P35" s="40">
        <v>276</v>
      </c>
    </row>
    <row r="36" spans="2:16" ht="49.35" customHeight="1" thickTop="1" thickBot="1" x14ac:dyDescent="0.3">
      <c r="B36" s="253" t="s">
        <v>51</v>
      </c>
      <c r="C36" s="253"/>
      <c r="D36" s="25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16" ht="44.85" customHeight="1" thickTop="1" x14ac:dyDescent="0.25">
      <c r="B37" s="265" t="s">
        <v>35</v>
      </c>
      <c r="C37" s="265"/>
      <c r="D37" s="234" t="s">
        <v>572</v>
      </c>
      <c r="E37" s="46" t="s">
        <v>572</v>
      </c>
      <c r="F37" s="46" t="s">
        <v>572</v>
      </c>
      <c r="G37" s="46"/>
      <c r="H37" s="46"/>
      <c r="I37" s="46"/>
      <c r="J37" s="46"/>
      <c r="K37" s="46"/>
      <c r="L37" s="46"/>
      <c r="M37" s="46"/>
      <c r="N37" s="46"/>
      <c r="O37" s="47"/>
      <c r="P37" s="48" t="s">
        <v>572</v>
      </c>
    </row>
    <row r="38" spans="2:16" ht="44.85" customHeight="1" x14ac:dyDescent="0.25">
      <c r="B38" s="267" t="s">
        <v>40</v>
      </c>
      <c r="C38" s="267"/>
      <c r="D38" s="234" t="s">
        <v>52</v>
      </c>
      <c r="E38" s="46" t="s">
        <v>52</v>
      </c>
      <c r="F38" s="46" t="s">
        <v>52</v>
      </c>
      <c r="G38" s="46"/>
      <c r="H38" s="46"/>
      <c r="I38" s="46"/>
      <c r="J38" s="46"/>
      <c r="K38" s="46"/>
      <c r="L38" s="46"/>
      <c r="M38" s="46"/>
      <c r="N38" s="46"/>
      <c r="O38" s="47"/>
      <c r="P38" s="49" t="s">
        <v>52</v>
      </c>
    </row>
    <row r="39" spans="2:16" ht="44.85" customHeight="1" x14ac:dyDescent="0.25">
      <c r="B39" s="267" t="s">
        <v>43</v>
      </c>
      <c r="C39" s="267"/>
      <c r="D39" s="235" t="s">
        <v>54</v>
      </c>
      <c r="E39" s="11" t="s">
        <v>54</v>
      </c>
      <c r="F39" s="11" t="s">
        <v>54</v>
      </c>
      <c r="G39" s="11"/>
      <c r="H39" s="11"/>
      <c r="I39" s="11"/>
      <c r="J39" s="11"/>
      <c r="K39" s="11"/>
      <c r="L39" s="11"/>
      <c r="M39" s="11"/>
      <c r="N39" s="46"/>
      <c r="O39" s="47"/>
      <c r="P39" s="49" t="s">
        <v>54</v>
      </c>
    </row>
    <row r="40" spans="2:16" ht="44.85" customHeight="1" x14ac:dyDescent="0.25">
      <c r="B40" s="267" t="s">
        <v>45</v>
      </c>
      <c r="C40" s="267"/>
      <c r="D40" s="235" t="s">
        <v>56</v>
      </c>
      <c r="E40" s="11" t="s">
        <v>55</v>
      </c>
      <c r="F40" s="11" t="s">
        <v>55</v>
      </c>
      <c r="G40" s="11"/>
      <c r="H40" s="11"/>
      <c r="I40" s="11"/>
      <c r="J40" s="11"/>
      <c r="K40" s="11"/>
      <c r="L40" s="11"/>
      <c r="M40" s="11"/>
      <c r="N40" s="50"/>
      <c r="O40" s="11"/>
      <c r="P40" s="49" t="s">
        <v>56</v>
      </c>
    </row>
    <row r="41" spans="2:16" ht="44.85" customHeight="1" thickBot="1" x14ac:dyDescent="0.3">
      <c r="B41" s="268" t="s">
        <v>48</v>
      </c>
      <c r="C41" s="268"/>
      <c r="D41" s="236" t="s">
        <v>55</v>
      </c>
      <c r="E41" s="40" t="s">
        <v>56</v>
      </c>
      <c r="F41" s="40" t="s">
        <v>605</v>
      </c>
      <c r="G41" s="214"/>
      <c r="H41" s="214"/>
      <c r="I41" s="40"/>
      <c r="J41" s="40"/>
      <c r="K41" s="11"/>
      <c r="L41" s="40"/>
      <c r="M41" s="40"/>
      <c r="N41" s="40"/>
      <c r="O41" s="40"/>
      <c r="P41" s="51" t="s">
        <v>55</v>
      </c>
    </row>
    <row r="42" spans="2:16" ht="44.85" customHeight="1" thickTop="1" thickBot="1" x14ac:dyDescent="0.3">
      <c r="B42" s="253" t="s">
        <v>58</v>
      </c>
      <c r="C42" s="253"/>
      <c r="D42" s="25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2:16" ht="39" customHeight="1" thickTop="1" thickBot="1" x14ac:dyDescent="0.3">
      <c r="B43" s="269" t="s">
        <v>59</v>
      </c>
      <c r="C43" s="52" t="s">
        <v>60</v>
      </c>
      <c r="D43" s="11">
        <v>964</v>
      </c>
      <c r="E43" s="53">
        <v>937</v>
      </c>
      <c r="F43" s="54">
        <v>1981</v>
      </c>
      <c r="G43" s="54"/>
      <c r="H43" s="54"/>
      <c r="I43" s="55"/>
      <c r="J43" s="55"/>
      <c r="K43" s="55"/>
      <c r="L43" s="55"/>
      <c r="M43" s="55"/>
      <c r="N43" s="54"/>
      <c r="O43" s="54"/>
      <c r="P43" s="56">
        <f>SUM(D43:O43)</f>
        <v>3882</v>
      </c>
    </row>
    <row r="44" spans="2:16" ht="44.85" customHeight="1" thickTop="1" thickBot="1" x14ac:dyDescent="0.3">
      <c r="B44" s="269"/>
      <c r="C44" s="57" t="s">
        <v>61</v>
      </c>
      <c r="D44" s="188">
        <f>D43/(D43+D45+D47+D49)</f>
        <v>0.52735229759299784</v>
      </c>
      <c r="E44" s="188">
        <f>E43/(E43+E45+E47+E50)</f>
        <v>0.60686503057454655</v>
      </c>
      <c r="F44" s="188">
        <f t="shared" ref="F44:O44" si="2">F43/(F43+F45+F47+F49)</f>
        <v>0.77051730844029565</v>
      </c>
      <c r="G44" s="188" t="e">
        <f t="shared" si="2"/>
        <v>#DIV/0!</v>
      </c>
      <c r="H44" s="188" t="e">
        <f t="shared" si="2"/>
        <v>#DIV/0!</v>
      </c>
      <c r="I44" s="188" t="e">
        <f t="shared" si="2"/>
        <v>#DIV/0!</v>
      </c>
      <c r="J44" s="188" t="e">
        <f t="shared" si="2"/>
        <v>#DIV/0!</v>
      </c>
      <c r="K44" s="188" t="e">
        <f t="shared" si="2"/>
        <v>#DIV/0!</v>
      </c>
      <c r="L44" s="188" t="e">
        <f t="shared" si="2"/>
        <v>#DIV/0!</v>
      </c>
      <c r="M44" s="188" t="e">
        <f t="shared" si="2"/>
        <v>#DIV/0!</v>
      </c>
      <c r="N44" s="188" t="e">
        <f t="shared" si="2"/>
        <v>#DIV/0!</v>
      </c>
      <c r="O44" s="188" t="e">
        <f t="shared" si="2"/>
        <v>#DIV/0!</v>
      </c>
      <c r="P44" s="60">
        <f>P43/(P$43+P$45+P$47+P$49)</f>
        <v>0.65530047265361246</v>
      </c>
    </row>
    <row r="45" spans="2:16" ht="31.35" customHeight="1" thickTop="1" thickBot="1" x14ac:dyDescent="0.3">
      <c r="B45" s="266" t="s">
        <v>72</v>
      </c>
      <c r="C45" s="52" t="s">
        <v>60</v>
      </c>
      <c r="D45" s="45">
        <v>852</v>
      </c>
      <c r="E45" s="45">
        <v>583</v>
      </c>
      <c r="F45" s="54">
        <v>487</v>
      </c>
      <c r="G45" s="54"/>
      <c r="H45" s="54"/>
      <c r="I45" s="55"/>
      <c r="J45" s="192"/>
      <c r="K45" s="192"/>
      <c r="L45" s="192"/>
      <c r="M45" s="192"/>
      <c r="N45" s="193"/>
      <c r="O45" s="196"/>
      <c r="P45" s="56">
        <f>SUM(D45:O45)</f>
        <v>1922</v>
      </c>
    </row>
    <row r="46" spans="2:16" ht="44.85" customHeight="1" thickTop="1" thickBot="1" x14ac:dyDescent="0.3">
      <c r="B46" s="266"/>
      <c r="C46" s="61" t="s">
        <v>61</v>
      </c>
      <c r="D46" s="188">
        <f>D45/(D43+D45+D47+D49)</f>
        <v>0.46608315098468273</v>
      </c>
      <c r="E46" s="188">
        <f t="shared" ref="E46:O46" si="3">E45/(E43+E45+E47+E49)</f>
        <v>0.37734627831715212</v>
      </c>
      <c r="F46" s="188">
        <f t="shared" si="3"/>
        <v>0.18942045896538312</v>
      </c>
      <c r="G46" s="188" t="e">
        <f t="shared" si="3"/>
        <v>#DIV/0!</v>
      </c>
      <c r="H46" s="188" t="e">
        <f t="shared" si="3"/>
        <v>#DIV/0!</v>
      </c>
      <c r="I46" s="188" t="e">
        <f t="shared" si="3"/>
        <v>#DIV/0!</v>
      </c>
      <c r="J46" s="197" t="e">
        <f t="shared" si="3"/>
        <v>#DIV/0!</v>
      </c>
      <c r="K46" s="197" t="e">
        <f t="shared" si="3"/>
        <v>#DIV/0!</v>
      </c>
      <c r="L46" s="197" t="e">
        <f t="shared" si="3"/>
        <v>#DIV/0!</v>
      </c>
      <c r="M46" s="197" t="e">
        <f t="shared" si="3"/>
        <v>#DIV/0!</v>
      </c>
      <c r="N46" s="197" t="e">
        <f t="shared" si="3"/>
        <v>#DIV/0!</v>
      </c>
      <c r="O46" s="198" t="e">
        <f t="shared" si="3"/>
        <v>#DIV/0!</v>
      </c>
      <c r="P46" s="66">
        <f>P45/(P$43+P$45+P$47+P$49)</f>
        <v>0.32444294395678597</v>
      </c>
    </row>
    <row r="47" spans="2:16" ht="31.35" customHeight="1" thickTop="1" x14ac:dyDescent="0.25">
      <c r="B47" s="271" t="s">
        <v>83</v>
      </c>
      <c r="C47" s="57" t="s">
        <v>60</v>
      </c>
      <c r="D47" s="54">
        <v>5</v>
      </c>
      <c r="E47" s="45">
        <v>24</v>
      </c>
      <c r="F47" s="54">
        <v>83</v>
      </c>
      <c r="G47" s="54"/>
      <c r="H47" s="54"/>
      <c r="I47" s="55"/>
      <c r="J47" s="194"/>
      <c r="K47" s="194"/>
      <c r="L47" s="194"/>
      <c r="M47" s="194"/>
      <c r="N47" s="195"/>
      <c r="O47" s="195"/>
      <c r="P47" s="68">
        <f>SUM(D47:O47)</f>
        <v>112</v>
      </c>
    </row>
    <row r="48" spans="2:16" ht="44.85" customHeight="1" thickBot="1" x14ac:dyDescent="0.3">
      <c r="B48" s="271" t="s">
        <v>84</v>
      </c>
      <c r="C48" s="57" t="s">
        <v>61</v>
      </c>
      <c r="D48" s="188">
        <f>D47/(D45+D47+D49+D43)</f>
        <v>2.7352297592997811E-3</v>
      </c>
      <c r="E48" s="188">
        <f t="shared" ref="E48:O48" si="4">E47/(E45+E47+E49+E43)</f>
        <v>1.5533980582524271E-2</v>
      </c>
      <c r="F48" s="188">
        <f t="shared" si="4"/>
        <v>3.2283158304161806E-2</v>
      </c>
      <c r="G48" s="188" t="e">
        <f t="shared" si="4"/>
        <v>#DIV/0!</v>
      </c>
      <c r="H48" s="188" t="e">
        <f t="shared" si="4"/>
        <v>#DIV/0!</v>
      </c>
      <c r="I48" s="188" t="e">
        <f t="shared" si="4"/>
        <v>#DIV/0!</v>
      </c>
      <c r="J48" s="188" t="e">
        <f t="shared" si="4"/>
        <v>#DIV/0!</v>
      </c>
      <c r="K48" s="188" t="e">
        <f t="shared" si="4"/>
        <v>#DIV/0!</v>
      </c>
      <c r="L48" s="188" t="e">
        <f t="shared" si="4"/>
        <v>#DIV/0!</v>
      </c>
      <c r="M48" s="188" t="e">
        <f t="shared" si="4"/>
        <v>#DIV/0!</v>
      </c>
      <c r="N48" s="188" t="e">
        <f t="shared" si="4"/>
        <v>#DIV/0!</v>
      </c>
      <c r="O48" s="188" t="e">
        <f t="shared" si="4"/>
        <v>#DIV/0!</v>
      </c>
      <c r="P48" s="60">
        <f>P47/(P$43+P$45+P$47+P$49)</f>
        <v>1.8906144496961513E-2</v>
      </c>
    </row>
    <row r="49" spans="2:258" ht="31.35" customHeight="1" thickTop="1" thickBot="1" x14ac:dyDescent="0.3">
      <c r="B49" s="266" t="s">
        <v>95</v>
      </c>
      <c r="C49" s="52" t="s">
        <v>60</v>
      </c>
      <c r="D49" s="54">
        <v>7</v>
      </c>
      <c r="E49" s="54">
        <v>1</v>
      </c>
      <c r="F49" s="69" t="s">
        <v>569</v>
      </c>
      <c r="G49" s="54"/>
      <c r="H49" s="69"/>
      <c r="I49" s="55"/>
      <c r="J49" s="70"/>
      <c r="K49" s="70"/>
      <c r="L49" s="70"/>
      <c r="M49" s="70"/>
      <c r="N49" s="69"/>
      <c r="O49" s="69"/>
      <c r="P49" s="56">
        <f>SUM(D49:O49)</f>
        <v>8</v>
      </c>
    </row>
    <row r="50" spans="2:258" ht="44.85" customHeight="1" thickTop="1" thickBot="1" x14ac:dyDescent="0.3">
      <c r="B50" s="266"/>
      <c r="C50" s="61" t="s">
        <v>61</v>
      </c>
      <c r="D50" s="188">
        <f>D49/(D47+D49+D45+D43)</f>
        <v>3.8293216630196935E-3</v>
      </c>
      <c r="E50" s="188">
        <f t="shared" ref="E50:O50" si="5">E49/(E47+E49+E45+E43)</f>
        <v>6.4724919093851134E-4</v>
      </c>
      <c r="F50" s="188">
        <f t="shared" si="5"/>
        <v>7.7790742901594706E-3</v>
      </c>
      <c r="G50" s="188" t="e">
        <f t="shared" si="5"/>
        <v>#DIV/0!</v>
      </c>
      <c r="H50" s="188" t="e">
        <f t="shared" si="5"/>
        <v>#DIV/0!</v>
      </c>
      <c r="I50" s="188" t="e">
        <f t="shared" si="5"/>
        <v>#DIV/0!</v>
      </c>
      <c r="J50" s="188" t="e">
        <f t="shared" si="5"/>
        <v>#DIV/0!</v>
      </c>
      <c r="K50" s="188" t="e">
        <f t="shared" si="5"/>
        <v>#DIV/0!</v>
      </c>
      <c r="L50" s="188" t="e">
        <f t="shared" si="5"/>
        <v>#DIV/0!</v>
      </c>
      <c r="M50" s="188" t="e">
        <f t="shared" si="5"/>
        <v>#DIV/0!</v>
      </c>
      <c r="N50" s="188" t="e">
        <f t="shared" si="5"/>
        <v>#DIV/0!</v>
      </c>
      <c r="O50" s="188" t="e">
        <f t="shared" si="5"/>
        <v>#DIV/0!</v>
      </c>
      <c r="P50" s="66">
        <f>P49/(P$43+P$45+P$47+P$49)</f>
        <v>1.3504388926401081E-3</v>
      </c>
    </row>
    <row r="51" spans="2:258" ht="43.15" customHeight="1" thickTop="1" thickBot="1" x14ac:dyDescent="0.3">
      <c r="B51" s="253" t="s">
        <v>107</v>
      </c>
      <c r="C51" s="253"/>
      <c r="D51" s="25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2:258" ht="44.85" customHeight="1" thickTop="1" thickBot="1" x14ac:dyDescent="0.3">
      <c r="B52" s="272" t="s">
        <v>108</v>
      </c>
      <c r="C52" s="52" t="s">
        <v>60</v>
      </c>
      <c r="D52" s="54">
        <v>1359</v>
      </c>
      <c r="E52" s="54">
        <v>1293</v>
      </c>
      <c r="F52" s="54">
        <v>2095</v>
      </c>
      <c r="G52" s="54"/>
      <c r="H52" s="54"/>
      <c r="I52" s="55"/>
      <c r="J52" s="55"/>
      <c r="K52" s="55"/>
      <c r="L52" s="55"/>
      <c r="M52" s="55"/>
      <c r="N52" s="54"/>
      <c r="O52" s="54"/>
      <c r="P52" s="56">
        <f>SUM(D52:O52)</f>
        <v>4747</v>
      </c>
    </row>
    <row r="53" spans="2:258" ht="32.25" customHeight="1" thickTop="1" thickBot="1" x14ac:dyDescent="0.3">
      <c r="B53" s="272"/>
      <c r="C53" s="57" t="s">
        <v>61</v>
      </c>
      <c r="D53" s="188">
        <f>D52/(D52+D54+D56)</f>
        <v>0.74343544857768051</v>
      </c>
      <c r="E53" s="188">
        <f t="shared" ref="E53:O53" si="6">E52/(E52+E54+E56)</f>
        <v>0.8379779650032404</v>
      </c>
      <c r="F53" s="188">
        <f t="shared" si="6"/>
        <v>0.80670003850596839</v>
      </c>
      <c r="G53" s="188" t="e">
        <f t="shared" si="6"/>
        <v>#DIV/0!</v>
      </c>
      <c r="H53" s="188" t="e">
        <f t="shared" si="6"/>
        <v>#DIV/0!</v>
      </c>
      <c r="I53" s="188" t="e">
        <f t="shared" si="6"/>
        <v>#DIV/0!</v>
      </c>
      <c r="J53" s="188" t="e">
        <f t="shared" si="6"/>
        <v>#DIV/0!</v>
      </c>
      <c r="K53" s="188" t="e">
        <f t="shared" si="6"/>
        <v>#DIV/0!</v>
      </c>
      <c r="L53" s="188" t="e">
        <f t="shared" si="6"/>
        <v>#DIV/0!</v>
      </c>
      <c r="M53" s="188" t="e">
        <f t="shared" si="6"/>
        <v>#DIV/0!</v>
      </c>
      <c r="N53" s="188" t="e">
        <f t="shared" si="6"/>
        <v>#DIV/0!</v>
      </c>
      <c r="O53" s="188" t="e">
        <f t="shared" si="6"/>
        <v>#DIV/0!</v>
      </c>
      <c r="P53" s="60">
        <f>P52/(P$52+P$54+P$56)</f>
        <v>0.79540884718498661</v>
      </c>
    </row>
    <row r="54" spans="2:258" ht="44.85" customHeight="1" thickTop="1" thickBot="1" x14ac:dyDescent="0.3">
      <c r="B54" s="273" t="s">
        <v>118</v>
      </c>
      <c r="C54" s="52" t="s">
        <v>60</v>
      </c>
      <c r="D54" s="54">
        <v>444</v>
      </c>
      <c r="E54" s="54">
        <v>233</v>
      </c>
      <c r="F54" s="54">
        <v>481</v>
      </c>
      <c r="G54" s="54"/>
      <c r="H54" s="54"/>
      <c r="I54" s="55"/>
      <c r="J54" s="55"/>
      <c r="K54" s="55"/>
      <c r="L54" s="55"/>
      <c r="M54" s="55"/>
      <c r="N54" s="54"/>
      <c r="O54" s="199"/>
      <c r="P54" s="56">
        <f>SUM(D54:O54)</f>
        <v>1158</v>
      </c>
    </row>
    <row r="55" spans="2:258" ht="39" customHeight="1" thickTop="1" thickBot="1" x14ac:dyDescent="0.3">
      <c r="B55" s="273"/>
      <c r="C55" s="61" t="s">
        <v>61</v>
      </c>
      <c r="D55" s="200">
        <f>D54/(D52+D54+D56)</f>
        <v>0.24288840262582057</v>
      </c>
      <c r="E55" s="200">
        <f t="shared" ref="E55:P55" si="7">E54/(E52+E54+E56)</f>
        <v>0.15100453661697991</v>
      </c>
      <c r="F55" s="200">
        <f t="shared" si="7"/>
        <v>0.18521370812475935</v>
      </c>
      <c r="G55" s="200" t="e">
        <f t="shared" si="7"/>
        <v>#DIV/0!</v>
      </c>
      <c r="H55" s="200" t="e">
        <f t="shared" si="7"/>
        <v>#DIV/0!</v>
      </c>
      <c r="I55" s="200" t="e">
        <f t="shared" si="7"/>
        <v>#DIV/0!</v>
      </c>
      <c r="J55" s="200" t="e">
        <f t="shared" si="7"/>
        <v>#DIV/0!</v>
      </c>
      <c r="K55" s="200" t="e">
        <f t="shared" si="7"/>
        <v>#DIV/0!</v>
      </c>
      <c r="L55" s="200" t="e">
        <f t="shared" si="7"/>
        <v>#DIV/0!</v>
      </c>
      <c r="M55" s="200" t="e">
        <f t="shared" si="7"/>
        <v>#DIV/0!</v>
      </c>
      <c r="N55" s="200" t="e">
        <f t="shared" si="7"/>
        <v>#DIV/0!</v>
      </c>
      <c r="O55" s="201" t="e">
        <f t="shared" si="7"/>
        <v>#DIV/0!</v>
      </c>
      <c r="P55" s="211">
        <f t="shared" si="7"/>
        <v>0.19403485254691688</v>
      </c>
    </row>
    <row r="56" spans="2:258" ht="44.85" customHeight="1" thickTop="1" thickBot="1" x14ac:dyDescent="0.3">
      <c r="B56" s="274" t="s">
        <v>128</v>
      </c>
      <c r="C56" s="57" t="s">
        <v>60</v>
      </c>
      <c r="D56" s="212">
        <v>25</v>
      </c>
      <c r="E56" s="54">
        <v>17</v>
      </c>
      <c r="F56" s="54">
        <v>21</v>
      </c>
      <c r="G56" s="54"/>
      <c r="H56" s="69"/>
      <c r="I56" s="55"/>
      <c r="J56" s="70"/>
      <c r="K56" s="55"/>
      <c r="L56" s="70"/>
      <c r="M56" s="70"/>
      <c r="N56" s="69"/>
      <c r="O56" s="203"/>
      <c r="P56" s="56">
        <f>SUM(D56:O56)</f>
        <v>63</v>
      </c>
    </row>
    <row r="57" spans="2:258" ht="49.35" customHeight="1" thickTop="1" thickBot="1" x14ac:dyDescent="0.3">
      <c r="B57" s="274"/>
      <c r="C57" s="61" t="s">
        <v>61</v>
      </c>
      <c r="D57" s="213">
        <f>D56/(D52+D54+D56)</f>
        <v>1.3676148796498906E-2</v>
      </c>
      <c r="E57" s="204">
        <f t="shared" ref="E57:O57" si="8">E56/(E52+E54+E56)</f>
        <v>1.1017498379779649E-2</v>
      </c>
      <c r="F57" s="204">
        <f t="shared" si="8"/>
        <v>8.0862533692722376E-3</v>
      </c>
      <c r="G57" s="204" t="e">
        <f t="shared" si="8"/>
        <v>#DIV/0!</v>
      </c>
      <c r="H57" s="204" t="e">
        <f t="shared" si="8"/>
        <v>#DIV/0!</v>
      </c>
      <c r="I57" s="204" t="e">
        <f t="shared" si="8"/>
        <v>#DIV/0!</v>
      </c>
      <c r="J57" s="204" t="e">
        <f t="shared" si="8"/>
        <v>#DIV/0!</v>
      </c>
      <c r="K57" s="204" t="e">
        <f t="shared" si="8"/>
        <v>#DIV/0!</v>
      </c>
      <c r="L57" s="204" t="e">
        <f t="shared" si="8"/>
        <v>#DIV/0!</v>
      </c>
      <c r="M57" s="204" t="e">
        <f t="shared" si="8"/>
        <v>#DIV/0!</v>
      </c>
      <c r="N57" s="204" t="e">
        <f t="shared" si="8"/>
        <v>#DIV/0!</v>
      </c>
      <c r="O57" s="205" t="e">
        <f t="shared" si="8"/>
        <v>#DIV/0!</v>
      </c>
      <c r="P57" s="66">
        <f>P56/(P$52+P$54+P$56)</f>
        <v>1.0556300268096515E-2</v>
      </c>
    </row>
    <row r="58" spans="2:258" ht="44.65" customHeight="1" thickTop="1" x14ac:dyDescent="0.25">
      <c r="B58" s="72"/>
      <c r="C58" s="7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  <row r="59" spans="2:258" s="74" customFormat="1" ht="17.25" customHeight="1" x14ac:dyDescent="0.25">
      <c r="B59" s="275" t="s">
        <v>142</v>
      </c>
      <c r="C59" s="2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  <c r="IW59" s="117"/>
      <c r="IX59" s="117"/>
    </row>
    <row r="60" spans="2:258" s="74" customFormat="1" ht="16.149999999999999" customHeight="1" x14ac:dyDescent="0.25">
      <c r="B60" s="276" t="s">
        <v>142</v>
      </c>
      <c r="C60" s="2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</row>
    <row r="61" spans="2:258" s="74" customFormat="1" ht="20.65" customHeight="1" x14ac:dyDescent="0.25">
      <c r="B61" s="217"/>
      <c r="C61" s="21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</row>
    <row r="62" spans="2:258" s="74" customFormat="1" ht="13.9" customHeight="1" x14ac:dyDescent="0.25">
      <c r="B62" s="277"/>
      <c r="C62" s="277"/>
      <c r="D62" s="277"/>
      <c r="E62" s="277"/>
      <c r="F62" s="277"/>
      <c r="G62" s="277"/>
      <c r="H62" s="277"/>
      <c r="I62" s="277"/>
      <c r="J62" s="79"/>
      <c r="K62" s="79"/>
      <c r="L62" s="79"/>
      <c r="M62" s="79"/>
      <c r="N62" s="79"/>
      <c r="O62" s="79"/>
      <c r="P62" s="79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  <c r="IW62" s="117"/>
      <c r="IX62" s="117"/>
    </row>
    <row r="63" spans="2:258" s="74" customFormat="1" ht="18.399999999999999" customHeight="1" x14ac:dyDescent="0.25">
      <c r="B63" s="270" t="s">
        <v>144</v>
      </c>
      <c r="C63" s="270"/>
      <c r="D63" s="270"/>
      <c r="E63" s="270"/>
      <c r="F63" s="270"/>
      <c r="G63" s="270"/>
      <c r="H63" s="270"/>
      <c r="I63" s="270"/>
      <c r="J63" s="79"/>
      <c r="K63" s="79"/>
      <c r="L63" s="79"/>
      <c r="M63" s="79"/>
      <c r="N63" s="79"/>
      <c r="O63" s="79"/>
      <c r="P63" s="79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  <c r="IW63" s="117"/>
      <c r="IX63" s="117"/>
    </row>
    <row r="64" spans="2:258" s="74" customFormat="1" ht="18.399999999999999" customHeight="1" x14ac:dyDescent="0.25">
      <c r="B64" s="215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  <c r="IW64" s="117"/>
      <c r="IX64" s="117"/>
    </row>
    <row r="65" spans="2:258" s="74" customFormat="1" ht="27.2" customHeight="1" x14ac:dyDescent="0.25">
      <c r="B65" s="278" t="s">
        <v>575</v>
      </c>
      <c r="C65" s="278"/>
      <c r="D65" s="278"/>
      <c r="E65" s="278"/>
      <c r="F65" s="278"/>
      <c r="G65" s="278"/>
      <c r="H65" s="81"/>
      <c r="I65" s="81"/>
      <c r="J65" s="79"/>
      <c r="K65" s="79"/>
      <c r="L65" s="79"/>
      <c r="M65" s="79"/>
      <c r="N65" s="79"/>
      <c r="O65" s="79"/>
      <c r="P65" s="79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  <c r="IW65" s="117"/>
      <c r="IX65" s="117"/>
    </row>
    <row r="66" spans="2:258" s="74" customFormat="1" ht="25.15" customHeight="1" x14ac:dyDescent="0.25">
      <c r="B66" s="270" t="s">
        <v>576</v>
      </c>
      <c r="C66" s="270"/>
      <c r="D66" s="270"/>
      <c r="E66" s="270"/>
      <c r="F66" s="270"/>
      <c r="G66" s="270"/>
      <c r="H66" s="81"/>
      <c r="I66" s="81"/>
      <c r="J66" s="79"/>
      <c r="K66" s="79"/>
      <c r="L66" s="79"/>
      <c r="M66" s="79"/>
      <c r="N66" s="79"/>
      <c r="O66" s="79"/>
      <c r="P66" s="79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  <c r="IW66" s="117"/>
      <c r="IX66" s="117"/>
    </row>
    <row r="67" spans="2:258" s="74" customFormat="1" ht="25.15" customHeight="1" x14ac:dyDescent="0.25">
      <c r="B67" s="215"/>
      <c r="C67" s="81"/>
      <c r="D67" s="81"/>
      <c r="E67" s="81"/>
      <c r="F67" s="81"/>
      <c r="G67" s="81"/>
      <c r="H67" s="81"/>
      <c r="I67" s="81"/>
      <c r="J67" s="79"/>
      <c r="K67" s="79"/>
      <c r="L67" s="79"/>
      <c r="M67" s="79"/>
      <c r="N67" s="79"/>
      <c r="O67" s="79"/>
      <c r="P67" s="79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  <c r="IW67" s="117"/>
      <c r="IX67" s="117"/>
    </row>
    <row r="68" spans="2:258" s="74" customFormat="1" ht="11.45" customHeight="1" x14ac:dyDescent="0.25">
      <c r="B68" s="277" t="s">
        <v>145</v>
      </c>
      <c r="C68" s="277"/>
      <c r="D68" s="277"/>
      <c r="E68" s="277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  <c r="IW68" s="117"/>
      <c r="IX68" s="117"/>
    </row>
    <row r="69" spans="2:258" s="74" customFormat="1" ht="16.149999999999999" customHeight="1" x14ac:dyDescent="0.25">
      <c r="B69" s="270" t="s">
        <v>146</v>
      </c>
      <c r="C69" s="270"/>
      <c r="D69" s="270"/>
      <c r="E69" s="270"/>
      <c r="F69" s="270"/>
      <c r="G69" s="270"/>
      <c r="H69" s="79"/>
      <c r="I69" s="79"/>
      <c r="J69" s="79"/>
      <c r="K69" s="79"/>
      <c r="L69" s="79"/>
      <c r="M69" s="79"/>
      <c r="N69" s="79"/>
      <c r="O69" s="79"/>
      <c r="P69" s="79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  <c r="IW69" s="117"/>
      <c r="IX69" s="117"/>
    </row>
    <row r="70" spans="2:258" s="74" customFormat="1" ht="16.149999999999999" customHeight="1" x14ac:dyDescent="0.25">
      <c r="B70" s="215"/>
      <c r="C70" s="81"/>
      <c r="D70" s="81"/>
      <c r="E70" s="81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  <c r="IW70" s="117"/>
      <c r="IX70" s="117"/>
    </row>
    <row r="71" spans="2:258" s="74" customFormat="1" ht="14.85" customHeight="1" x14ac:dyDescent="0.25">
      <c r="B71" s="277" t="s">
        <v>578</v>
      </c>
      <c r="C71" s="277"/>
      <c r="D71" s="277"/>
      <c r="E71" s="277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  <c r="IW71" s="117"/>
      <c r="IX71" s="117"/>
    </row>
    <row r="72" spans="2:258" s="74" customFormat="1" ht="19.5" customHeight="1" x14ac:dyDescent="0.25">
      <c r="B72" s="279" t="s">
        <v>579</v>
      </c>
      <c r="C72" s="279"/>
      <c r="D72" s="279"/>
      <c r="E72" s="2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  <c r="IW72" s="117"/>
      <c r="IX72" s="117"/>
    </row>
    <row r="73" spans="2:258" s="74" customFormat="1" ht="25.15" customHeight="1" x14ac:dyDescent="0.25">
      <c r="B73" s="218"/>
      <c r="C73" s="81"/>
      <c r="D73" s="81"/>
      <c r="E73" s="81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  <c r="IW73" s="117"/>
      <c r="IX73" s="117"/>
    </row>
    <row r="74" spans="2:258" s="74" customFormat="1" ht="13.9" customHeight="1" x14ac:dyDescent="0.25">
      <c r="B74" s="277" t="s">
        <v>147</v>
      </c>
      <c r="C74" s="277"/>
      <c r="D74" s="277"/>
      <c r="E74" s="277"/>
      <c r="F74" s="117"/>
      <c r="G74" s="117"/>
      <c r="H74" s="117"/>
      <c r="I74" s="117"/>
      <c r="J74" s="117"/>
      <c r="K74" s="117"/>
      <c r="L74" s="117"/>
      <c r="M74" s="83"/>
      <c r="N74" s="83"/>
      <c r="O74" s="83"/>
      <c r="P74" s="83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  <c r="IW74" s="117"/>
      <c r="IX74" s="117"/>
    </row>
    <row r="75" spans="2:258" s="74" customFormat="1" ht="16.149999999999999" customHeight="1" x14ac:dyDescent="0.25">
      <c r="B75" s="84" t="s">
        <v>148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3"/>
      <c r="N75" s="83"/>
      <c r="O75" s="83"/>
      <c r="P75" s="83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  <c r="IW75" s="117"/>
      <c r="IX75" s="117"/>
    </row>
    <row r="76" spans="2:258" s="74" customFormat="1" ht="29.85" customHeight="1" x14ac:dyDescent="0.25">
      <c r="B76" s="117"/>
      <c r="C76" s="117"/>
      <c r="D76" s="117"/>
      <c r="E76" s="117"/>
      <c r="F76" s="117"/>
      <c r="G76" s="117"/>
      <c r="H76" s="85"/>
      <c r="I76" s="85"/>
      <c r="J76" s="86"/>
      <c r="K76" s="86"/>
      <c r="L76" s="86"/>
      <c r="M76" s="83"/>
      <c r="N76" s="83"/>
      <c r="O76" s="83"/>
      <c r="P76" s="83"/>
      <c r="Q76" s="8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  <c r="IW76" s="117"/>
      <c r="IX76" s="117"/>
    </row>
    <row r="77" spans="2:258" s="74" customFormat="1" ht="17.649999999999999" customHeight="1" x14ac:dyDescent="0.25">
      <c r="B77" s="117" t="s">
        <v>149</v>
      </c>
      <c r="C77" s="117"/>
      <c r="D77" s="117"/>
      <c r="E77" s="117"/>
      <c r="F77" s="117"/>
      <c r="G77" s="117"/>
      <c r="H77" s="85"/>
      <c r="I77" s="85"/>
      <c r="J77" s="86"/>
      <c r="K77" s="86"/>
      <c r="L77" s="86"/>
      <c r="M77" s="83"/>
      <c r="N77" s="83"/>
      <c r="O77" s="83"/>
      <c r="P77" s="83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  <c r="IW77" s="117"/>
      <c r="IX77" s="117"/>
    </row>
    <row r="78" spans="2:258" s="74" customFormat="1" ht="13.15" customHeight="1" x14ac:dyDescent="0.25">
      <c r="B78" s="117" t="s">
        <v>150</v>
      </c>
      <c r="C78" s="88"/>
      <c r="D78" s="117"/>
      <c r="E78" s="117"/>
      <c r="F78" s="117"/>
      <c r="G78" s="117"/>
      <c r="H78" s="89"/>
      <c r="I78" s="89"/>
      <c r="J78" s="86"/>
      <c r="K78" s="86"/>
      <c r="L78" s="86"/>
      <c r="M78" s="86"/>
      <c r="N78" s="86"/>
      <c r="O78" s="86"/>
      <c r="P78" s="86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  <c r="IW78" s="117"/>
      <c r="IX78" s="117"/>
    </row>
    <row r="79" spans="2:258" s="74" customFormat="1" ht="18.399999999999999" customHeight="1" x14ac:dyDescent="0.25">
      <c r="B79" s="117"/>
      <c r="C79" s="117"/>
      <c r="D79" s="117"/>
      <c r="E79" s="117"/>
      <c r="F79" s="117"/>
      <c r="G79" s="117"/>
      <c r="H79" s="89"/>
      <c r="I79" s="89"/>
      <c r="J79" s="86"/>
      <c r="K79" s="86"/>
      <c r="L79" s="86"/>
      <c r="M79" s="86"/>
      <c r="N79" s="86"/>
      <c r="O79" s="86"/>
      <c r="P79" s="86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  <c r="IW79" s="117"/>
      <c r="IX79" s="117"/>
    </row>
    <row r="80" spans="2:258" s="74" customFormat="1" ht="25.15" customHeight="1" x14ac:dyDescent="0.25">
      <c r="B80" s="11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</row>
    <row r="81" spans="1:258" s="74" customFormat="1" ht="17.25" customHeight="1" x14ac:dyDescent="0.2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</row>
    <row r="82" spans="1:258" s="92" customFormat="1" ht="47.65" customHeight="1" x14ac:dyDescent="0.25">
      <c r="A82" s="74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</row>
    <row r="83" spans="1:258" ht="33.950000000000003" customHeight="1" x14ac:dyDescent="0.25">
      <c r="B83" s="142"/>
      <c r="Q83" s="93"/>
    </row>
    <row r="84" spans="1:258" ht="19.350000000000001" customHeight="1" x14ac:dyDescent="0.25">
      <c r="B84" s="142"/>
    </row>
    <row r="87" spans="1:258" x14ac:dyDescent="0.25">
      <c r="A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  <c r="IV87" s="95"/>
      <c r="IW87" s="95"/>
      <c r="IX87" s="95"/>
    </row>
    <row r="88" spans="1:258" x14ac:dyDescent="0.25">
      <c r="A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  <c r="IV88" s="95"/>
      <c r="IW88" s="95"/>
      <c r="IX88" s="95"/>
    </row>
    <row r="89" spans="1:258" x14ac:dyDescent="0.25"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  <c r="IV89" s="95"/>
      <c r="IW89" s="95"/>
      <c r="IX89" s="95"/>
    </row>
    <row r="90" spans="1:258" x14ac:dyDescent="0.25"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</row>
    <row r="91" spans="1:258" x14ac:dyDescent="0.25"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  <c r="IV91" s="95"/>
      <c r="IW91" s="95"/>
      <c r="IX91" s="95"/>
    </row>
    <row r="92" spans="1:258" x14ac:dyDescent="0.25"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  <c r="IV92" s="95"/>
      <c r="IW92" s="95"/>
      <c r="IX92" s="95"/>
    </row>
    <row r="93" spans="1:258" x14ac:dyDescent="0.25"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  <c r="IV93" s="95"/>
      <c r="IW93" s="95"/>
      <c r="IX93" s="95"/>
    </row>
    <row r="94" spans="1:258" x14ac:dyDescent="0.25"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  <c r="IV94" s="95"/>
      <c r="IW94" s="95"/>
      <c r="IX94" s="95"/>
    </row>
    <row r="95" spans="1:258" x14ac:dyDescent="0.25">
      <c r="Q95" s="96"/>
    </row>
    <row r="96" spans="1:258" x14ac:dyDescent="0.25">
      <c r="Q96" s="96"/>
    </row>
    <row r="97" spans="17:17" ht="30" customHeight="1" x14ac:dyDescent="0.25">
      <c r="Q97" s="96"/>
    </row>
    <row r="98" spans="17:17" ht="31.5" customHeight="1" x14ac:dyDescent="0.25">
      <c r="Q98" s="96"/>
    </row>
    <row r="99" spans="17:17" ht="30" customHeight="1" x14ac:dyDescent="0.25"/>
    <row r="100" spans="17:17" ht="30" customHeight="1" x14ac:dyDescent="0.25"/>
    <row r="1048576" ht="12.75" customHeight="1" x14ac:dyDescent="0.25"/>
  </sheetData>
  <mergeCells count="53">
    <mergeCell ref="B68:E68"/>
    <mergeCell ref="B69:G69"/>
    <mergeCell ref="B71:E71"/>
    <mergeCell ref="B72:E72"/>
    <mergeCell ref="B74:E74"/>
    <mergeCell ref="B66:G66"/>
    <mergeCell ref="B47:B48"/>
    <mergeCell ref="B49:B50"/>
    <mergeCell ref="B51:D51"/>
    <mergeCell ref="B52:B53"/>
    <mergeCell ref="B54:B55"/>
    <mergeCell ref="B56:B57"/>
    <mergeCell ref="B59:C59"/>
    <mergeCell ref="B60:C60"/>
    <mergeCell ref="B62:I62"/>
    <mergeCell ref="B63:I63"/>
    <mergeCell ref="B65:G65"/>
    <mergeCell ref="B45:B46"/>
    <mergeCell ref="B30:B31"/>
    <mergeCell ref="B32:B33"/>
    <mergeCell ref="B34:B35"/>
    <mergeCell ref="B36:D36"/>
    <mergeCell ref="B37:C37"/>
    <mergeCell ref="B38:C38"/>
    <mergeCell ref="B39:C39"/>
    <mergeCell ref="B40:C40"/>
    <mergeCell ref="B41:C41"/>
    <mergeCell ref="B42:D42"/>
    <mergeCell ref="B43:B44"/>
    <mergeCell ref="B28:B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P25"/>
    <mergeCell ref="B26:B27"/>
    <mergeCell ref="B15:C15"/>
    <mergeCell ref="B4:P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04"/>
  <sheetViews>
    <sheetView zoomScale="82" zoomScaleNormal="82" workbookViewId="0">
      <selection activeCell="W67" sqref="W67"/>
    </sheetView>
  </sheetViews>
  <sheetFormatPr baseColWidth="10" defaultColWidth="11.5703125" defaultRowHeight="15" x14ac:dyDescent="0.25"/>
  <cols>
    <col min="4" max="4" width="17.42578125" customWidth="1"/>
    <col min="5" max="5" width="19.42578125" customWidth="1"/>
    <col min="8" max="8" width="21.7109375" customWidth="1"/>
    <col min="11" max="11" width="11.5703125" style="142"/>
    <col min="13" max="13" width="14" customWidth="1"/>
    <col min="14" max="14" width="17.28515625" customWidth="1"/>
  </cols>
  <sheetData>
    <row r="1" spans="1:19" s="142" customFormat="1" x14ac:dyDescent="0.25"/>
    <row r="2" spans="1:19" s="142" customFormat="1" x14ac:dyDescent="0.25"/>
    <row r="3" spans="1:19" s="142" customFormat="1" x14ac:dyDescent="0.25"/>
    <row r="5" spans="1:19" s="142" customFormat="1" x14ac:dyDescent="0.25"/>
    <row r="6" spans="1:19" s="142" customFormat="1" ht="15.75" thickBot="1" x14ac:dyDescent="0.3"/>
    <row r="7" spans="1:19" s="142" customFormat="1" ht="69.599999999999994" customHeight="1" thickTop="1" thickBot="1" x14ac:dyDescent="0.3">
      <c r="C7" s="301" t="s">
        <v>535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</row>
    <row r="8" spans="1:19" s="142" customFormat="1" ht="15.75" thickTop="1" x14ac:dyDescent="0.25"/>
    <row r="9" spans="1:19" s="142" customFormat="1" x14ac:dyDescent="0.25"/>
    <row r="10" spans="1:19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L10" s="142"/>
      <c r="M10" s="142"/>
      <c r="N10" s="142"/>
      <c r="O10" s="142"/>
    </row>
    <row r="11" spans="1:19" ht="30" x14ac:dyDescent="0.25">
      <c r="H11" s="184" t="s">
        <v>501</v>
      </c>
      <c r="I11" s="184" t="s">
        <v>536</v>
      </c>
      <c r="J11" s="185">
        <v>2017</v>
      </c>
      <c r="K11" s="185">
        <v>2018</v>
      </c>
      <c r="L11" s="185">
        <v>2019</v>
      </c>
      <c r="M11" s="185">
        <v>2020</v>
      </c>
      <c r="N11" s="185">
        <v>2021</v>
      </c>
      <c r="O11" s="185">
        <v>2022</v>
      </c>
      <c r="P11" s="185">
        <v>2023</v>
      </c>
      <c r="Q11" s="185">
        <v>2024</v>
      </c>
    </row>
    <row r="12" spans="1:19" ht="18.75" x14ac:dyDescent="0.3">
      <c r="H12" s="186" t="s">
        <v>537</v>
      </c>
      <c r="I12" s="206">
        <v>3862</v>
      </c>
      <c r="J12" s="206">
        <v>7133</v>
      </c>
      <c r="K12" s="206">
        <v>10759</v>
      </c>
      <c r="L12" s="206">
        <v>7933</v>
      </c>
      <c r="M12" s="206">
        <f>'2024-2016'!H45</f>
        <v>84725</v>
      </c>
      <c r="N12" s="206">
        <v>18366</v>
      </c>
      <c r="O12" s="206">
        <v>11748</v>
      </c>
      <c r="P12" s="206">
        <f>'2024-2016'!K45</f>
        <v>10524</v>
      </c>
      <c r="Q12" s="227">
        <v>3634</v>
      </c>
    </row>
    <row r="13" spans="1:19" ht="18.75" x14ac:dyDescent="0.3">
      <c r="H13" s="187" t="s">
        <v>412</v>
      </c>
      <c r="I13" s="206">
        <v>1582</v>
      </c>
      <c r="J13" s="206">
        <v>3107</v>
      </c>
      <c r="K13" s="206">
        <v>3682</v>
      </c>
      <c r="L13" s="206">
        <v>2803</v>
      </c>
      <c r="M13" s="206">
        <f>'2024-2016'!H48</f>
        <v>11236</v>
      </c>
      <c r="N13" s="206">
        <v>1723</v>
      </c>
      <c r="O13" s="206">
        <v>1063</v>
      </c>
      <c r="P13" s="206">
        <f>'2024-2016'!K54</f>
        <v>885</v>
      </c>
      <c r="Q13" s="227">
        <v>239</v>
      </c>
    </row>
    <row r="14" spans="1:19" ht="18.75" x14ac:dyDescent="0.3">
      <c r="H14" s="187" t="s">
        <v>417</v>
      </c>
      <c r="I14" s="206">
        <v>1326</v>
      </c>
      <c r="J14" s="206">
        <v>1279</v>
      </c>
      <c r="K14" s="206">
        <v>1106</v>
      </c>
      <c r="L14" s="206">
        <v>884</v>
      </c>
      <c r="M14" s="206">
        <f>'2024-2016'!H51</f>
        <v>7143</v>
      </c>
      <c r="N14" s="206">
        <v>3266</v>
      </c>
      <c r="O14" s="206">
        <v>1585</v>
      </c>
      <c r="P14" s="206">
        <f>'2024-2016'!K51</f>
        <v>1215</v>
      </c>
      <c r="Q14" s="227">
        <v>667</v>
      </c>
    </row>
    <row r="15" spans="1:19" ht="18.75" x14ac:dyDescent="0.3">
      <c r="H15" s="187" t="s">
        <v>418</v>
      </c>
      <c r="I15" s="206">
        <v>739</v>
      </c>
      <c r="J15" s="206">
        <v>1150</v>
      </c>
      <c r="K15" s="206">
        <v>1177</v>
      </c>
      <c r="L15" s="206">
        <v>758</v>
      </c>
      <c r="M15" s="207">
        <v>0</v>
      </c>
      <c r="N15" s="206">
        <v>290</v>
      </c>
      <c r="O15" s="207">
        <v>0</v>
      </c>
      <c r="P15" s="207">
        <v>0</v>
      </c>
      <c r="Q15" s="227">
        <v>0</v>
      </c>
    </row>
    <row r="16" spans="1:19" ht="18.75" x14ac:dyDescent="0.3">
      <c r="H16" s="187" t="s">
        <v>419</v>
      </c>
      <c r="I16" s="207">
        <v>0</v>
      </c>
      <c r="J16" s="208">
        <v>0</v>
      </c>
      <c r="K16" s="206">
        <v>1093</v>
      </c>
      <c r="L16" s="206">
        <v>1380</v>
      </c>
      <c r="M16" s="207">
        <v>0</v>
      </c>
      <c r="N16" s="207">
        <v>0</v>
      </c>
      <c r="O16" s="207">
        <v>0</v>
      </c>
      <c r="P16" s="207">
        <v>0</v>
      </c>
      <c r="Q16" s="227">
        <v>0</v>
      </c>
    </row>
    <row r="17" spans="8:17" ht="18.75" x14ac:dyDescent="0.3">
      <c r="H17" s="186" t="s">
        <v>428</v>
      </c>
      <c r="I17" s="206">
        <v>137</v>
      </c>
      <c r="J17" s="206">
        <v>350</v>
      </c>
      <c r="K17" s="207">
        <v>0</v>
      </c>
      <c r="L17" s="207">
        <v>0</v>
      </c>
      <c r="M17" s="206">
        <f>'2024-2016'!H57</f>
        <v>4294</v>
      </c>
      <c r="N17" s="206">
        <v>1667</v>
      </c>
      <c r="O17" s="208">
        <v>1179</v>
      </c>
      <c r="P17" s="208">
        <f>'2024-2016'!K48</f>
        <v>1840</v>
      </c>
      <c r="Q17" s="227">
        <v>1292</v>
      </c>
    </row>
    <row r="18" spans="8:17" ht="18.75" x14ac:dyDescent="0.3">
      <c r="H18" s="187" t="s">
        <v>423</v>
      </c>
      <c r="I18" s="207">
        <v>0</v>
      </c>
      <c r="J18" s="207">
        <v>0</v>
      </c>
      <c r="K18" s="207">
        <v>0</v>
      </c>
      <c r="L18" s="207">
        <v>0</v>
      </c>
      <c r="M18" s="206">
        <f>'2024-2016'!H54</f>
        <v>5224</v>
      </c>
      <c r="N18" s="206">
        <v>591</v>
      </c>
      <c r="O18" s="208">
        <v>203</v>
      </c>
      <c r="P18" s="208">
        <f>'2024-2016'!K57</f>
        <v>117</v>
      </c>
      <c r="Q18" s="227">
        <v>77</v>
      </c>
    </row>
    <row r="50" spans="1:15" s="142" customFormat="1" x14ac:dyDescent="0.25">
      <c r="A50"/>
      <c r="B50"/>
      <c r="C50"/>
      <c r="D50"/>
      <c r="E50"/>
      <c r="F50"/>
      <c r="G50"/>
      <c r="H50"/>
      <c r="I50"/>
      <c r="J50"/>
      <c r="L50"/>
      <c r="M50"/>
      <c r="N50"/>
      <c r="O50"/>
    </row>
    <row r="51" spans="1:15" s="142" customFormat="1" x14ac:dyDescent="0.25"/>
    <row r="52" spans="1:15" s="142" customFormat="1" x14ac:dyDescent="0.25"/>
    <row r="53" spans="1:15" s="142" customFormat="1" x14ac:dyDescent="0.25"/>
    <row r="54" spans="1:15" s="142" customFormat="1" x14ac:dyDescent="0.25"/>
    <row r="55" spans="1:15" s="142" customFormat="1" x14ac:dyDescent="0.25"/>
    <row r="56" spans="1:15" s="142" customFormat="1" x14ac:dyDescent="0.25"/>
    <row r="57" spans="1:15" s="142" customFormat="1" x14ac:dyDescent="0.25"/>
    <row r="58" spans="1:15" s="142" customFormat="1" x14ac:dyDescent="0.25"/>
    <row r="59" spans="1:15" s="142" customFormat="1" ht="6.6" customHeight="1" x14ac:dyDescent="0.25"/>
    <row r="60" spans="1:15" hidden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L60" s="142"/>
      <c r="M60" s="142"/>
      <c r="N60" s="142"/>
      <c r="O60" s="142"/>
    </row>
    <row r="61" spans="1:15" x14ac:dyDescent="0.25">
      <c r="F61">
        <v>2016</v>
      </c>
      <c r="G61">
        <v>2017</v>
      </c>
      <c r="H61">
        <v>2018</v>
      </c>
      <c r="I61">
        <v>2019</v>
      </c>
      <c r="J61">
        <v>2020</v>
      </c>
      <c r="K61" s="142">
        <v>2021</v>
      </c>
      <c r="L61">
        <v>2022</v>
      </c>
      <c r="M61">
        <v>2023</v>
      </c>
      <c r="N61" s="142">
        <v>2024</v>
      </c>
    </row>
    <row r="62" spans="1:15" ht="42.6" customHeight="1" x14ac:dyDescent="0.3">
      <c r="E62" t="s">
        <v>546</v>
      </c>
      <c r="F62" s="230">
        <v>1884</v>
      </c>
      <c r="G62" s="230">
        <v>3592</v>
      </c>
      <c r="H62" s="230">
        <v>5683</v>
      </c>
      <c r="I62" s="230">
        <v>4282</v>
      </c>
      <c r="J62" s="230">
        <f>'2024-2016'!H32</f>
        <v>30714</v>
      </c>
      <c r="K62" s="230">
        <f>'2024-2016'!I32</f>
        <v>5220</v>
      </c>
      <c r="L62" s="230">
        <v>4785</v>
      </c>
      <c r="M62" s="230">
        <v>6450</v>
      </c>
      <c r="N62" s="228">
        <v>2565</v>
      </c>
    </row>
    <row r="63" spans="1:15" ht="20.45" customHeight="1" x14ac:dyDescent="0.3">
      <c r="E63" t="s">
        <v>547</v>
      </c>
      <c r="F63" s="230">
        <v>1089</v>
      </c>
      <c r="G63" s="230">
        <v>2095</v>
      </c>
      <c r="H63" s="230">
        <v>3827</v>
      </c>
      <c r="I63" s="230">
        <v>3154</v>
      </c>
      <c r="J63" s="231">
        <v>13998</v>
      </c>
      <c r="K63" s="231">
        <v>3504</v>
      </c>
      <c r="L63" s="230">
        <v>1644</v>
      </c>
      <c r="M63" s="230">
        <v>176</v>
      </c>
      <c r="N63" s="228">
        <v>578</v>
      </c>
    </row>
    <row r="64" spans="1:15" ht="18.75" x14ac:dyDescent="0.3">
      <c r="E64" t="s">
        <v>548</v>
      </c>
      <c r="F64" s="230">
        <f>'2024-2016'!D38</f>
        <v>885</v>
      </c>
      <c r="G64" s="230">
        <f>'2024-2016'!E35</f>
        <v>1861</v>
      </c>
      <c r="H64" s="230">
        <f>'2024-2016'!F35</f>
        <v>1399</v>
      </c>
      <c r="I64" s="230">
        <f>'2024-2016'!G35</f>
        <v>1559</v>
      </c>
      <c r="J64" s="230">
        <f>'2024-2016'!H38</f>
        <v>9177</v>
      </c>
      <c r="K64" s="230">
        <v>2995</v>
      </c>
      <c r="L64" s="230">
        <v>1522</v>
      </c>
      <c r="M64" s="230">
        <v>76</v>
      </c>
      <c r="N64" s="229">
        <v>143</v>
      </c>
    </row>
    <row r="65" spans="5:14" ht="18.75" x14ac:dyDescent="0.3">
      <c r="E65" t="s">
        <v>52</v>
      </c>
      <c r="F65" s="230">
        <v>556</v>
      </c>
      <c r="G65" s="230">
        <v>782</v>
      </c>
      <c r="H65" s="230">
        <v>1160</v>
      </c>
      <c r="I65" s="230">
        <v>1389</v>
      </c>
      <c r="J65" s="231">
        <v>32766</v>
      </c>
      <c r="K65" s="231">
        <v>5656</v>
      </c>
      <c r="L65" s="230">
        <v>4010</v>
      </c>
      <c r="M65" s="230">
        <v>2566</v>
      </c>
      <c r="N65" s="228">
        <v>885</v>
      </c>
    </row>
    <row r="66" spans="5:14" ht="18.75" x14ac:dyDescent="0.3">
      <c r="E66" t="s">
        <v>55</v>
      </c>
      <c r="F66" s="230"/>
      <c r="G66" s="230">
        <v>499</v>
      </c>
      <c r="H66" s="230">
        <v>834</v>
      </c>
      <c r="I66" s="230">
        <v>409</v>
      </c>
      <c r="J66" s="231">
        <v>5855</v>
      </c>
      <c r="K66" s="231">
        <v>1180</v>
      </c>
      <c r="L66" s="230">
        <v>1103</v>
      </c>
      <c r="M66" s="230">
        <v>71</v>
      </c>
      <c r="N66" s="229">
        <v>296</v>
      </c>
    </row>
    <row r="102" spans="4:8" ht="19.350000000000001" customHeight="1" x14ac:dyDescent="0.25">
      <c r="D102" s="159"/>
    </row>
    <row r="103" spans="4:8" ht="18.75" x14ac:dyDescent="0.25">
      <c r="D103" s="300" t="s">
        <v>147</v>
      </c>
      <c r="E103" s="300"/>
      <c r="F103" s="300"/>
      <c r="G103" s="300"/>
      <c r="H103" s="300"/>
    </row>
    <row r="104" spans="4:8" ht="18.75" x14ac:dyDescent="0.3">
      <c r="D104" s="160" t="s">
        <v>148</v>
      </c>
      <c r="E104" s="114"/>
      <c r="F104" s="1"/>
      <c r="G104" s="1"/>
    </row>
  </sheetData>
  <mergeCells count="2">
    <mergeCell ref="D103:H103"/>
    <mergeCell ref="C7:S7"/>
  </mergeCells>
  <printOptions horizontalCentered="1"/>
  <pageMargins left="8.8888888888888906E-2" right="0.39374999999999999" top="0.49236111111111103" bottom="0.65902777777777799" header="0.39374999999999999" footer="0.39374999999999999"/>
  <pageSetup paperSize="9" orientation="portrait" horizontalDpi="300" verticalDpi="300" r:id="rId1"/>
  <headerFooter>
    <oddFooter>&amp;C&amp;12&amp;Kffffff&amp;P /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C8"/>
  <sheetViews>
    <sheetView zoomScaleNormal="100" workbookViewId="0">
      <selection activeCell="B6" sqref="B6"/>
    </sheetView>
  </sheetViews>
  <sheetFormatPr baseColWidth="10" defaultColWidth="11.5703125" defaultRowHeight="15" x14ac:dyDescent="0.25"/>
  <cols>
    <col min="2" max="2" width="30.5703125" customWidth="1"/>
    <col min="3" max="3" width="19.7109375" customWidth="1"/>
  </cols>
  <sheetData>
    <row r="1" spans="2:3" ht="26.25" x14ac:dyDescent="0.25">
      <c r="B1" s="161" t="s">
        <v>407</v>
      </c>
      <c r="C1" s="162">
        <v>84725</v>
      </c>
    </row>
    <row r="2" spans="2:3" ht="26.25" x14ac:dyDescent="0.25">
      <c r="B2" s="163" t="s">
        <v>412</v>
      </c>
      <c r="C2" s="164">
        <v>11236</v>
      </c>
    </row>
    <row r="3" spans="2:3" ht="26.25" x14ac:dyDescent="0.25">
      <c r="B3" s="161" t="s">
        <v>417</v>
      </c>
      <c r="C3" s="162">
        <v>7143</v>
      </c>
    </row>
    <row r="4" spans="2:3" ht="26.25" x14ac:dyDescent="0.25">
      <c r="B4" s="163" t="s">
        <v>538</v>
      </c>
      <c r="C4" s="164">
        <v>5247</v>
      </c>
    </row>
    <row r="5" spans="2:3" ht="26.25" x14ac:dyDescent="0.25">
      <c r="B5" s="161" t="s">
        <v>423</v>
      </c>
      <c r="C5" s="162">
        <v>5224</v>
      </c>
    </row>
    <row r="6" spans="2:3" ht="26.25" x14ac:dyDescent="0.25">
      <c r="B6" s="163" t="s">
        <v>539</v>
      </c>
      <c r="C6" s="164">
        <v>4294</v>
      </c>
    </row>
    <row r="7" spans="2:3" ht="26.25" x14ac:dyDescent="0.25">
      <c r="B7" s="161" t="s">
        <v>418</v>
      </c>
      <c r="C7" s="162">
        <v>2702</v>
      </c>
    </row>
    <row r="8" spans="2:3" ht="26.25" x14ac:dyDescent="0.25">
      <c r="B8" s="163" t="s">
        <v>540</v>
      </c>
      <c r="C8" s="164">
        <v>587</v>
      </c>
    </row>
  </sheetData>
  <printOptions horizontalCentered="1"/>
  <pageMargins left="8.8888888888888906E-2" right="0.39374999999999999" top="0.49236111111111103" bottom="0.65902777777777799" header="0.39374999999999999" footer="0.39374999999999999"/>
  <pageSetup paperSize="9" orientation="portrait" horizontalDpi="300" verticalDpi="300"/>
  <headerFooter>
    <oddFooter>&amp;C&amp;12&amp;Kffffff&amp;P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7BD8-025F-4F33-A012-1B9D9528616D}">
  <sheetPr>
    <tabColor rgb="FF006B6B"/>
  </sheetPr>
  <dimension ref="A1:IX1048576"/>
  <sheetViews>
    <sheetView topLeftCell="A8" zoomScale="71" zoomScaleNormal="71" workbookViewId="0">
      <selection activeCell="P24" sqref="P24"/>
    </sheetView>
  </sheetViews>
  <sheetFormatPr baseColWidth="10" defaultColWidth="8.7109375" defaultRowHeight="15" x14ac:dyDescent="0.25"/>
  <cols>
    <col min="1" max="1" width="2.5703125" style="142" customWidth="1"/>
    <col min="2" max="2" width="17.7109375" style="120" customWidth="1"/>
    <col min="3" max="3" width="24.7109375" style="120" customWidth="1"/>
    <col min="4" max="8" width="20.85546875" style="120" customWidth="1"/>
    <col min="9" max="9" width="22.28515625" style="120" customWidth="1"/>
    <col min="10" max="15" width="20.85546875" style="120" customWidth="1"/>
    <col min="16" max="16" width="20.7109375" style="120" customWidth="1"/>
    <col min="17" max="258" width="8.7109375" style="120"/>
    <col min="259" max="16384" width="8.7109375" style="142"/>
  </cols>
  <sheetData>
    <row r="1" spans="2:16" ht="12.75" hidden="1" customHeight="1" x14ac:dyDescent="0.25">
      <c r="B1" s="2"/>
      <c r="C1" s="2"/>
    </row>
    <row r="2" spans="2:16" ht="11.65" customHeight="1" x14ac:dyDescent="0.25">
      <c r="B2" s="2"/>
      <c r="C2" s="2"/>
    </row>
    <row r="3" spans="2:16" ht="83.1" customHeight="1" thickBot="1" x14ac:dyDescent="0.3">
      <c r="B3" s="2"/>
      <c r="C3" s="2"/>
      <c r="D3" s="120" t="s">
        <v>0</v>
      </c>
    </row>
    <row r="4" spans="2:16" ht="60.2" customHeight="1" thickTop="1" thickBot="1" x14ac:dyDescent="0.3">
      <c r="B4" s="251" t="s">
        <v>544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75.75" customHeight="1" thickTop="1" thickBot="1" x14ac:dyDescent="0.3">
      <c r="B5" s="252"/>
      <c r="C5" s="252"/>
      <c r="D5" s="3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2:16" ht="30" customHeight="1" thickTop="1" thickBot="1" x14ac:dyDescent="0.3">
      <c r="B6" s="253" t="s">
        <v>15</v>
      </c>
      <c r="C6" s="253"/>
      <c r="D6" s="2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1.35" customHeight="1" thickTop="1" x14ac:dyDescent="0.25">
      <c r="B7" s="250" t="s">
        <v>16</v>
      </c>
      <c r="C7" s="250"/>
      <c r="D7" s="8">
        <v>4015</v>
      </c>
      <c r="E7" s="8">
        <v>2712</v>
      </c>
      <c r="F7" s="8">
        <v>3353</v>
      </c>
      <c r="G7" s="9">
        <v>3389</v>
      </c>
      <c r="H7" s="9">
        <v>4609</v>
      </c>
      <c r="I7" s="9">
        <v>3781</v>
      </c>
      <c r="J7" s="9">
        <v>2346</v>
      </c>
      <c r="K7" s="9">
        <v>2074</v>
      </c>
      <c r="L7" s="9">
        <v>2863</v>
      </c>
      <c r="M7" s="9">
        <v>3930</v>
      </c>
      <c r="N7" s="9">
        <v>3832</v>
      </c>
      <c r="O7" s="8">
        <v>2971</v>
      </c>
      <c r="P7" s="10">
        <f>SUM(D7:O7)</f>
        <v>39875</v>
      </c>
    </row>
    <row r="8" spans="2:16" ht="44.85" customHeight="1" x14ac:dyDescent="0.25">
      <c r="B8" s="254" t="s">
        <v>17</v>
      </c>
      <c r="C8" s="254"/>
      <c r="D8" s="11">
        <v>1478</v>
      </c>
      <c r="E8" s="11">
        <v>1641</v>
      </c>
      <c r="F8" s="11">
        <v>1843</v>
      </c>
      <c r="G8" s="11">
        <v>1396</v>
      </c>
      <c r="H8" s="11">
        <v>1970</v>
      </c>
      <c r="I8" s="11">
        <v>1553</v>
      </c>
      <c r="J8" s="11">
        <v>1805</v>
      </c>
      <c r="K8" s="11">
        <v>1399</v>
      </c>
      <c r="L8" s="11">
        <v>1897</v>
      </c>
      <c r="M8" s="11">
        <v>2142</v>
      </c>
      <c r="N8" s="11">
        <v>1806</v>
      </c>
      <c r="O8" s="11">
        <v>1605</v>
      </c>
      <c r="P8" s="12">
        <f>SUM(D8:O8)</f>
        <v>20535</v>
      </c>
    </row>
    <row r="9" spans="2:16" ht="44.85" customHeight="1" x14ac:dyDescent="0.25">
      <c r="B9" s="255" t="s">
        <v>18</v>
      </c>
      <c r="C9" s="255"/>
      <c r="D9" s="8">
        <v>3388</v>
      </c>
      <c r="E9" s="8">
        <v>2163</v>
      </c>
      <c r="F9" s="8">
        <v>2636</v>
      </c>
      <c r="G9" s="8">
        <v>2829</v>
      </c>
      <c r="H9" s="8">
        <v>3655</v>
      </c>
      <c r="I9" s="8">
        <v>3076</v>
      </c>
      <c r="J9" s="8">
        <v>1886</v>
      </c>
      <c r="K9" s="8">
        <v>1620</v>
      </c>
      <c r="L9" s="8">
        <v>2109</v>
      </c>
      <c r="M9" s="8">
        <v>2818</v>
      </c>
      <c r="N9" s="8">
        <v>2936</v>
      </c>
      <c r="O9" s="8">
        <v>2205</v>
      </c>
      <c r="P9" s="12">
        <f>SUM(D9:O9)</f>
        <v>31321</v>
      </c>
    </row>
    <row r="10" spans="2:16" ht="44.85" customHeight="1" x14ac:dyDescent="0.25">
      <c r="B10" s="254" t="s">
        <v>19</v>
      </c>
      <c r="C10" s="254"/>
      <c r="D10" s="11">
        <v>1157</v>
      </c>
      <c r="E10" s="11">
        <v>1273</v>
      </c>
      <c r="F10" s="11">
        <v>1464</v>
      </c>
      <c r="G10" s="11">
        <v>1130</v>
      </c>
      <c r="H10" s="11">
        <v>1510</v>
      </c>
      <c r="I10" s="11">
        <v>1219</v>
      </c>
      <c r="J10" s="11">
        <v>1495</v>
      </c>
      <c r="K10" s="11">
        <v>1152</v>
      </c>
      <c r="L10" s="11">
        <v>1429</v>
      </c>
      <c r="M10" s="11">
        <v>1551</v>
      </c>
      <c r="N10" s="11">
        <v>1371</v>
      </c>
      <c r="O10" s="11">
        <v>1234</v>
      </c>
      <c r="P10" s="12">
        <f>SUM(D10:O10)</f>
        <v>15985</v>
      </c>
    </row>
    <row r="11" spans="2:16" ht="31.35" customHeight="1" x14ac:dyDescent="0.25">
      <c r="B11" s="250" t="s">
        <v>20</v>
      </c>
      <c r="C11" s="250"/>
      <c r="D11" s="8">
        <v>12563</v>
      </c>
      <c r="E11" s="8">
        <v>13064</v>
      </c>
      <c r="F11" s="8">
        <v>13977</v>
      </c>
      <c r="G11" s="8">
        <v>13644</v>
      </c>
      <c r="H11" s="8">
        <v>19515</v>
      </c>
      <c r="I11" s="8">
        <v>14615</v>
      </c>
      <c r="J11" s="8">
        <v>8801</v>
      </c>
      <c r="K11" s="8">
        <v>12014</v>
      </c>
      <c r="L11" s="8">
        <v>13082</v>
      </c>
      <c r="M11" s="8">
        <v>18061</v>
      </c>
      <c r="N11" s="8">
        <v>14883</v>
      </c>
      <c r="O11" s="8">
        <v>12802</v>
      </c>
      <c r="P11" s="12">
        <f t="shared" ref="P11:P12" si="0">SUM(D11:O11)</f>
        <v>167021</v>
      </c>
    </row>
    <row r="12" spans="2:16" ht="31.35" customHeight="1" x14ac:dyDescent="0.25">
      <c r="B12" s="256" t="s">
        <v>21</v>
      </c>
      <c r="C12" s="256"/>
      <c r="D12" s="11">
        <v>2902</v>
      </c>
      <c r="E12" s="11">
        <v>3255</v>
      </c>
      <c r="F12" s="11">
        <v>3513</v>
      </c>
      <c r="G12" s="11">
        <v>2419</v>
      </c>
      <c r="H12" s="11">
        <v>4234</v>
      </c>
      <c r="I12" s="11">
        <v>3441</v>
      </c>
      <c r="J12" s="11">
        <v>3184</v>
      </c>
      <c r="K12" s="11">
        <v>2404</v>
      </c>
      <c r="L12" s="11">
        <v>3668</v>
      </c>
      <c r="M12" s="11">
        <v>4480</v>
      </c>
      <c r="N12" s="11">
        <v>3706</v>
      </c>
      <c r="O12" s="11">
        <v>3012</v>
      </c>
      <c r="P12" s="12">
        <f t="shared" si="0"/>
        <v>40218</v>
      </c>
    </row>
    <row r="13" spans="2:16" ht="31.35" customHeight="1" x14ac:dyDescent="0.25">
      <c r="B13" s="250" t="s">
        <v>22</v>
      </c>
      <c r="C13" s="250"/>
      <c r="D13" s="13">
        <v>3.13</v>
      </c>
      <c r="E13" s="13">
        <v>4.82</v>
      </c>
      <c r="F13" s="14">
        <v>4.17</v>
      </c>
      <c r="G13" s="14">
        <v>4.03</v>
      </c>
      <c r="H13" s="14">
        <v>4.2300000000000004</v>
      </c>
      <c r="I13" s="14">
        <v>3.87</v>
      </c>
      <c r="J13" s="14">
        <v>3.75</v>
      </c>
      <c r="K13" s="14">
        <v>3.69</v>
      </c>
      <c r="L13" s="14">
        <v>4.57</v>
      </c>
      <c r="M13" s="14">
        <v>4.5999999999999996</v>
      </c>
      <c r="N13" s="14">
        <v>5.07</v>
      </c>
      <c r="O13" s="14">
        <v>5.81</v>
      </c>
      <c r="P13" s="15">
        <f t="shared" ref="P13:P18" si="1">AVERAGE(D13:O13)</f>
        <v>4.3116666666666674</v>
      </c>
    </row>
    <row r="14" spans="2:16" ht="44.85" customHeight="1" x14ac:dyDescent="0.25">
      <c r="B14" s="257" t="s">
        <v>23</v>
      </c>
      <c r="C14" s="257"/>
      <c r="D14" s="16">
        <v>2.5099999999999998</v>
      </c>
      <c r="E14" s="16">
        <v>2.56</v>
      </c>
      <c r="F14" s="17">
        <v>2.4</v>
      </c>
      <c r="G14" s="17">
        <v>2.14</v>
      </c>
      <c r="H14" s="17">
        <v>2.8</v>
      </c>
      <c r="I14" s="17">
        <v>2.82</v>
      </c>
      <c r="J14" s="17">
        <v>2.13</v>
      </c>
      <c r="K14" s="17">
        <v>2.09</v>
      </c>
      <c r="L14" s="17">
        <v>2.57</v>
      </c>
      <c r="M14" s="17">
        <v>2.84</v>
      </c>
      <c r="N14" s="17">
        <v>2.7</v>
      </c>
      <c r="O14" s="17">
        <v>2.44</v>
      </c>
      <c r="P14" s="15">
        <f t="shared" si="1"/>
        <v>2.5</v>
      </c>
    </row>
    <row r="15" spans="2:16" ht="44.85" customHeight="1" x14ac:dyDescent="0.25">
      <c r="B15" s="250" t="s">
        <v>24</v>
      </c>
      <c r="C15" s="250"/>
      <c r="D15" s="18">
        <v>1.1458333333333333E-3</v>
      </c>
      <c r="E15" s="18">
        <v>2.1874999999999998E-3</v>
      </c>
      <c r="F15" s="18">
        <v>1.8171296296296297E-3</v>
      </c>
      <c r="G15" s="18">
        <v>1.689814814814815E-3</v>
      </c>
      <c r="H15" s="18">
        <v>2.0833333333333333E-3</v>
      </c>
      <c r="I15" s="18">
        <v>1.8750000000000001E-3</v>
      </c>
      <c r="J15" s="18">
        <v>1.7824074074074072E-3</v>
      </c>
      <c r="K15" s="18">
        <v>1.7245370370370372E-3</v>
      </c>
      <c r="L15" s="18">
        <v>2.2453703703703702E-3</v>
      </c>
      <c r="M15" s="18">
        <v>2.4421296296296296E-3</v>
      </c>
      <c r="N15" s="18">
        <v>5.7870370370370366E-5</v>
      </c>
      <c r="O15" s="18">
        <v>5.0925925925925921E-4</v>
      </c>
      <c r="P15" s="19">
        <f t="shared" si="1"/>
        <v>1.6300154320987657E-3</v>
      </c>
    </row>
    <row r="16" spans="2:16" ht="44.85" customHeight="1" x14ac:dyDescent="0.25">
      <c r="B16" s="256" t="s">
        <v>25</v>
      </c>
      <c r="C16" s="256"/>
      <c r="D16" s="20">
        <v>3.1250000000000001E-4</v>
      </c>
      <c r="E16" s="20">
        <v>3.7037037037037035E-4</v>
      </c>
      <c r="F16" s="20">
        <v>3.3564814814814812E-4</v>
      </c>
      <c r="G16" s="20">
        <v>3.1250000000000001E-4</v>
      </c>
      <c r="H16" s="20">
        <v>4.0509259259259258E-4</v>
      </c>
      <c r="I16" s="20">
        <v>3.4722222222222224E-4</v>
      </c>
      <c r="J16" s="20">
        <v>2.6620370370370372E-4</v>
      </c>
      <c r="K16" s="20">
        <v>2.8935185185185189E-4</v>
      </c>
      <c r="L16" s="20">
        <v>3.0092592592592595E-4</v>
      </c>
      <c r="M16" s="20">
        <v>5.2083333333333333E-4</v>
      </c>
      <c r="N16" s="20">
        <v>4.1666666666666669E-4</v>
      </c>
      <c r="O16" s="20">
        <v>3.8194444444444446E-4</v>
      </c>
      <c r="P16" s="19">
        <f t="shared" si="1"/>
        <v>3.5493827160493831E-4</v>
      </c>
    </row>
    <row r="17" spans="2:16" ht="44.85" customHeight="1" x14ac:dyDescent="0.25">
      <c r="B17" s="250" t="s">
        <v>26</v>
      </c>
      <c r="C17" s="250"/>
      <c r="D17" s="21">
        <v>0.54249999999999998</v>
      </c>
      <c r="E17" s="21">
        <v>0.41699999999999998</v>
      </c>
      <c r="F17" s="22">
        <v>0.42499999999999999</v>
      </c>
      <c r="G17" s="22">
        <v>0.42580000000000001</v>
      </c>
      <c r="H17" s="22">
        <v>0.42</v>
      </c>
      <c r="I17" s="22">
        <v>0.46200000000000002</v>
      </c>
      <c r="J17" s="22">
        <v>0.54090000000000005</v>
      </c>
      <c r="K17" s="22">
        <v>0.55740000000000001</v>
      </c>
      <c r="L17" s="22">
        <v>0.5837</v>
      </c>
      <c r="M17" s="22">
        <v>0.59060000000000001</v>
      </c>
      <c r="N17" s="22">
        <v>0.56779999999999997</v>
      </c>
      <c r="O17" s="22">
        <v>0.58299999999999996</v>
      </c>
      <c r="P17" s="23">
        <f t="shared" si="1"/>
        <v>0.50964166666666677</v>
      </c>
    </row>
    <row r="18" spans="2:16" ht="44.85" customHeight="1" x14ac:dyDescent="0.25">
      <c r="B18" s="257" t="s">
        <v>27</v>
      </c>
      <c r="C18" s="257"/>
      <c r="D18" s="24">
        <v>0.61429999999999996</v>
      </c>
      <c r="E18" s="24">
        <v>0.62770000000000004</v>
      </c>
      <c r="F18" s="25">
        <v>0.61480000000000001</v>
      </c>
      <c r="G18" s="25">
        <v>0.59460000000000002</v>
      </c>
      <c r="H18" s="25">
        <v>0.62280000000000002</v>
      </c>
      <c r="I18" s="25">
        <v>0.65290000000000004</v>
      </c>
      <c r="J18" s="25">
        <v>0.55459999999999998</v>
      </c>
      <c r="K18" s="25">
        <v>0.58260000000000001</v>
      </c>
      <c r="L18" s="25">
        <v>0.59989999999999999</v>
      </c>
      <c r="M18" s="25">
        <v>0.61809999999999998</v>
      </c>
      <c r="N18" s="25">
        <v>0.64149999999999996</v>
      </c>
      <c r="O18" s="25">
        <v>0.66479999999999995</v>
      </c>
      <c r="P18" s="23">
        <f t="shared" si="1"/>
        <v>0.61571666666666658</v>
      </c>
    </row>
    <row r="19" spans="2:16" ht="44.85" customHeight="1" x14ac:dyDescent="0.25">
      <c r="B19" s="255" t="s">
        <v>28</v>
      </c>
      <c r="C19" s="255"/>
      <c r="D19" s="8">
        <v>3181</v>
      </c>
      <c r="E19" s="8">
        <v>1925</v>
      </c>
      <c r="F19" s="8">
        <v>2362</v>
      </c>
      <c r="G19" s="8">
        <v>2571</v>
      </c>
      <c r="H19" s="8">
        <v>3348</v>
      </c>
      <c r="I19" s="8">
        <v>2801</v>
      </c>
      <c r="J19" s="8">
        <v>1817</v>
      </c>
      <c r="K19" s="8">
        <v>1559</v>
      </c>
      <c r="L19" s="8">
        <v>2007</v>
      </c>
      <c r="M19" s="8">
        <v>2640</v>
      </c>
      <c r="N19" s="8">
        <v>2750</v>
      </c>
      <c r="O19" s="8">
        <v>2024</v>
      </c>
      <c r="P19" s="12">
        <f>SUM(D19:O19)</f>
        <v>28985</v>
      </c>
    </row>
    <row r="20" spans="2:16" ht="44.85" customHeight="1" x14ac:dyDescent="0.25">
      <c r="B20" s="259" t="s">
        <v>29</v>
      </c>
      <c r="C20" s="259"/>
      <c r="D20" s="11">
        <v>1047</v>
      </c>
      <c r="E20" s="11">
        <v>1120</v>
      </c>
      <c r="F20" s="11">
        <v>1308</v>
      </c>
      <c r="G20" s="11">
        <v>1020</v>
      </c>
      <c r="H20" s="11">
        <v>1319</v>
      </c>
      <c r="I20" s="11">
        <v>1079</v>
      </c>
      <c r="J20" s="11">
        <v>1377</v>
      </c>
      <c r="K20" s="11">
        <v>1055</v>
      </c>
      <c r="L20" s="11">
        <v>1287</v>
      </c>
      <c r="M20" s="11">
        <v>1370</v>
      </c>
      <c r="N20" s="11">
        <v>1223</v>
      </c>
      <c r="O20" s="11">
        <v>1093</v>
      </c>
      <c r="P20" s="12">
        <f>SUM(D20:O20)</f>
        <v>14298</v>
      </c>
    </row>
    <row r="21" spans="2:16" ht="44.85" customHeight="1" x14ac:dyDescent="0.25">
      <c r="B21" s="260" t="s">
        <v>30</v>
      </c>
      <c r="C21" s="260"/>
      <c r="D21" s="26">
        <v>43474</v>
      </c>
      <c r="E21" s="26">
        <v>43523</v>
      </c>
      <c r="F21" s="26">
        <v>43552</v>
      </c>
      <c r="G21" s="26">
        <v>43573</v>
      </c>
      <c r="H21" s="26">
        <v>43613</v>
      </c>
      <c r="I21" s="26">
        <v>43621</v>
      </c>
      <c r="J21" s="26">
        <v>43664</v>
      </c>
      <c r="K21" s="26">
        <v>43698</v>
      </c>
      <c r="L21" s="26">
        <v>43734</v>
      </c>
      <c r="M21" s="26">
        <v>43762</v>
      </c>
      <c r="N21" s="26">
        <v>43796</v>
      </c>
      <c r="O21" s="26">
        <v>43810</v>
      </c>
      <c r="P21" s="27">
        <f>D21</f>
        <v>43474</v>
      </c>
    </row>
    <row r="22" spans="2:16" ht="72" customHeight="1" thickBot="1" x14ac:dyDescent="0.3">
      <c r="B22" s="261" t="s">
        <v>31</v>
      </c>
      <c r="C22" s="261"/>
      <c r="D22" s="8">
        <v>251</v>
      </c>
      <c r="E22" s="8">
        <v>170</v>
      </c>
      <c r="F22" s="8">
        <v>187</v>
      </c>
      <c r="G22" s="8">
        <v>189</v>
      </c>
      <c r="H22" s="8">
        <v>211</v>
      </c>
      <c r="I22" s="28">
        <v>175</v>
      </c>
      <c r="J22" s="29">
        <v>109</v>
      </c>
      <c r="K22" s="28">
        <v>96</v>
      </c>
      <c r="L22" s="28">
        <v>143</v>
      </c>
      <c r="M22" s="28">
        <v>176</v>
      </c>
      <c r="N22" s="28">
        <v>168</v>
      </c>
      <c r="O22" s="28">
        <v>145</v>
      </c>
      <c r="P22" s="30">
        <f>MAX(D22:O22)</f>
        <v>251</v>
      </c>
    </row>
    <row r="23" spans="2:16" ht="44.85" customHeight="1" thickTop="1" x14ac:dyDescent="0.25">
      <c r="B23" s="262" t="s">
        <v>32</v>
      </c>
      <c r="C23" s="262"/>
      <c r="D23" s="31">
        <v>43474</v>
      </c>
      <c r="E23" s="31">
        <v>43522</v>
      </c>
      <c r="F23" s="31">
        <v>43553</v>
      </c>
      <c r="G23" s="31">
        <v>43572</v>
      </c>
      <c r="H23" s="31">
        <v>43600</v>
      </c>
      <c r="I23" s="31" t="s">
        <v>555</v>
      </c>
      <c r="J23" s="31">
        <v>43664</v>
      </c>
      <c r="K23" s="31">
        <v>43707</v>
      </c>
      <c r="L23" s="31">
        <v>43734</v>
      </c>
      <c r="M23" s="31">
        <v>43753</v>
      </c>
      <c r="N23" s="31">
        <v>43770</v>
      </c>
      <c r="O23" s="31">
        <v>43819</v>
      </c>
      <c r="P23" s="27">
        <f>J23</f>
        <v>43664</v>
      </c>
    </row>
    <row r="24" spans="2:16" ht="73.349999999999994" customHeight="1" thickBot="1" x14ac:dyDescent="0.3">
      <c r="B24" s="263" t="s">
        <v>33</v>
      </c>
      <c r="C24" s="263"/>
      <c r="D24" s="33">
        <v>73</v>
      </c>
      <c r="E24" s="33">
        <v>84</v>
      </c>
      <c r="F24" s="33">
        <v>95</v>
      </c>
      <c r="G24" s="33">
        <v>77</v>
      </c>
      <c r="H24" s="33">
        <v>89</v>
      </c>
      <c r="I24" s="33">
        <v>74</v>
      </c>
      <c r="J24" s="33">
        <v>164</v>
      </c>
      <c r="K24" s="33">
        <v>72</v>
      </c>
      <c r="L24" s="33">
        <v>87</v>
      </c>
      <c r="M24" s="33">
        <v>113</v>
      </c>
      <c r="N24" s="33">
        <v>86</v>
      </c>
      <c r="O24" s="33">
        <v>75</v>
      </c>
      <c r="P24" s="34">
        <f>MAX(D24:O24)</f>
        <v>164</v>
      </c>
    </row>
    <row r="25" spans="2:16" ht="58.9" customHeight="1" thickTop="1" thickBot="1" x14ac:dyDescent="0.3">
      <c r="B25" s="264" t="s">
        <v>34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2:16" ht="73.349999999999994" customHeight="1" thickTop="1" thickBot="1" x14ac:dyDescent="0.3">
      <c r="B26" s="265" t="s">
        <v>35</v>
      </c>
      <c r="C26" s="35" t="s">
        <v>36</v>
      </c>
      <c r="D26" s="210" t="s">
        <v>583</v>
      </c>
      <c r="E26" s="37" t="s">
        <v>562</v>
      </c>
      <c r="F26" s="37" t="s">
        <v>562</v>
      </c>
      <c r="G26" s="37" t="s">
        <v>582</v>
      </c>
      <c r="H26" s="37" t="s">
        <v>582</v>
      </c>
      <c r="I26" s="37" t="s">
        <v>562</v>
      </c>
      <c r="J26" s="37" t="s">
        <v>562</v>
      </c>
      <c r="K26" s="37" t="s">
        <v>562</v>
      </c>
      <c r="L26" s="37" t="s">
        <v>562</v>
      </c>
      <c r="M26" s="37" t="s">
        <v>562</v>
      </c>
      <c r="N26" s="37" t="s">
        <v>562</v>
      </c>
      <c r="O26" s="37" t="s">
        <v>562</v>
      </c>
      <c r="P26" s="38" t="s">
        <v>562</v>
      </c>
    </row>
    <row r="27" spans="2:16" ht="73.349999999999994" customHeight="1" thickTop="1" thickBot="1" x14ac:dyDescent="0.3">
      <c r="B27" s="265"/>
      <c r="C27" s="39" t="s">
        <v>39</v>
      </c>
      <c r="D27" s="33">
        <v>1948</v>
      </c>
      <c r="E27" s="40">
        <f>233+166+154</f>
        <v>553</v>
      </c>
      <c r="F27" s="40">
        <f>325+161+156</f>
        <v>642</v>
      </c>
      <c r="G27" s="40">
        <v>1026</v>
      </c>
      <c r="H27" s="40">
        <v>1467</v>
      </c>
      <c r="I27" s="40">
        <v>3122</v>
      </c>
      <c r="J27" s="40">
        <v>3168</v>
      </c>
      <c r="K27" s="40">
        <v>2770</v>
      </c>
      <c r="L27" s="40">
        <v>4525</v>
      </c>
      <c r="M27" s="40">
        <f>3573+1596+761</f>
        <v>5930</v>
      </c>
      <c r="N27" s="40">
        <v>5220</v>
      </c>
      <c r="O27" s="40">
        <v>3906</v>
      </c>
      <c r="P27" s="41">
        <f>L27+K27+J27+I27+G29+H29+E27+D29+F27+M27+N27+O27</f>
        <v>31656</v>
      </c>
    </row>
    <row r="28" spans="2:16" ht="73.349999999999994" customHeight="1" thickTop="1" thickBot="1" x14ac:dyDescent="0.3">
      <c r="B28" s="258" t="s">
        <v>40</v>
      </c>
      <c r="C28" s="35" t="s">
        <v>36</v>
      </c>
      <c r="D28" s="37" t="s">
        <v>562</v>
      </c>
      <c r="E28" s="37" t="s">
        <v>46</v>
      </c>
      <c r="F28" s="37" t="s">
        <v>46</v>
      </c>
      <c r="G28" s="37" t="s">
        <v>562</v>
      </c>
      <c r="H28" s="37" t="s">
        <v>562</v>
      </c>
      <c r="I28" s="37" t="s">
        <v>582</v>
      </c>
      <c r="J28" s="37" t="s">
        <v>558</v>
      </c>
      <c r="K28" s="37" t="s">
        <v>558</v>
      </c>
      <c r="L28" s="37" t="s">
        <v>46</v>
      </c>
      <c r="M28" s="37" t="s">
        <v>46</v>
      </c>
      <c r="N28" s="37" t="s">
        <v>553</v>
      </c>
      <c r="O28" s="37" t="s">
        <v>586</v>
      </c>
      <c r="P28" s="38" t="s">
        <v>46</v>
      </c>
    </row>
    <row r="29" spans="2:16" ht="73.349999999999994" customHeight="1" thickTop="1" thickBot="1" x14ac:dyDescent="0.3">
      <c r="B29" s="258"/>
      <c r="C29" s="42" t="s">
        <v>42</v>
      </c>
      <c r="D29" s="33">
        <v>640</v>
      </c>
      <c r="E29" s="40">
        <f>288+135</f>
        <v>423</v>
      </c>
      <c r="F29" s="40">
        <f>220+114</f>
        <v>334</v>
      </c>
      <c r="G29" s="40">
        <v>458</v>
      </c>
      <c r="H29" s="40">
        <v>722</v>
      </c>
      <c r="I29" s="40">
        <v>537</v>
      </c>
      <c r="J29" s="40">
        <f>544+163</f>
        <v>707</v>
      </c>
      <c r="K29" s="40">
        <v>305</v>
      </c>
      <c r="L29" s="40">
        <v>508</v>
      </c>
      <c r="M29" s="40">
        <f>378+168</f>
        <v>546</v>
      </c>
      <c r="N29" s="40">
        <v>234</v>
      </c>
      <c r="O29" s="40">
        <v>375</v>
      </c>
      <c r="P29" s="41">
        <f>L29+E29+F29+G33+H33+D31+I33+J31+K31+M29+N31+O31</f>
        <v>3813</v>
      </c>
    </row>
    <row r="30" spans="2:16" ht="73.349999999999994" customHeight="1" thickTop="1" x14ac:dyDescent="0.25">
      <c r="B30" s="267" t="s">
        <v>43</v>
      </c>
      <c r="C30" s="39" t="s">
        <v>36</v>
      </c>
      <c r="D30" s="37" t="s">
        <v>46</v>
      </c>
      <c r="E30" s="37" t="s">
        <v>563</v>
      </c>
      <c r="F30" s="37" t="s">
        <v>563</v>
      </c>
      <c r="G30" s="37" t="s">
        <v>563</v>
      </c>
      <c r="H30" s="37" t="s">
        <v>553</v>
      </c>
      <c r="I30" s="37" t="s">
        <v>553</v>
      </c>
      <c r="J30" s="37" t="s">
        <v>46</v>
      </c>
      <c r="K30" s="37" t="s">
        <v>46</v>
      </c>
      <c r="L30" s="37" t="s">
        <v>558</v>
      </c>
      <c r="M30" s="37" t="s">
        <v>574</v>
      </c>
      <c r="N30" s="37" t="s">
        <v>46</v>
      </c>
      <c r="O30" s="37" t="s">
        <v>46</v>
      </c>
      <c r="P30" s="38" t="s">
        <v>564</v>
      </c>
    </row>
    <row r="31" spans="2:16" ht="73.349999999999994" customHeight="1" thickBot="1" x14ac:dyDescent="0.3">
      <c r="B31" s="267"/>
      <c r="C31" s="43" t="s">
        <v>42</v>
      </c>
      <c r="D31" s="33">
        <f>264+112</f>
        <v>376</v>
      </c>
      <c r="E31" s="33">
        <v>182</v>
      </c>
      <c r="F31" s="40">
        <v>172</v>
      </c>
      <c r="G31" s="40">
        <v>237</v>
      </c>
      <c r="H31" s="40">
        <f>313+205</f>
        <v>518</v>
      </c>
      <c r="I31" s="40">
        <f>228+154</f>
        <v>382</v>
      </c>
      <c r="J31" s="40">
        <v>196</v>
      </c>
      <c r="K31" s="40">
        <v>180</v>
      </c>
      <c r="L31" s="40">
        <v>176</v>
      </c>
      <c r="M31" s="40">
        <f>181+145</f>
        <v>326</v>
      </c>
      <c r="N31" s="40">
        <v>214</v>
      </c>
      <c r="O31" s="40">
        <v>183</v>
      </c>
      <c r="P31" s="41">
        <f>G27+H27+I29</f>
        <v>3030</v>
      </c>
    </row>
    <row r="32" spans="2:16" ht="95.65" customHeight="1" thickTop="1" thickBot="1" x14ac:dyDescent="0.3">
      <c r="B32" s="258" t="s">
        <v>45</v>
      </c>
      <c r="C32" s="35" t="s">
        <v>36</v>
      </c>
      <c r="D32" s="37" t="s">
        <v>558</v>
      </c>
      <c r="E32" s="37" t="s">
        <v>554</v>
      </c>
      <c r="F32" s="37" t="s">
        <v>557</v>
      </c>
      <c r="G32" s="37" t="s">
        <v>46</v>
      </c>
      <c r="H32" s="37" t="s">
        <v>46</v>
      </c>
      <c r="I32" s="37" t="s">
        <v>46</v>
      </c>
      <c r="J32" s="37" t="s">
        <v>553</v>
      </c>
      <c r="K32" s="37" t="s">
        <v>561</v>
      </c>
      <c r="L32" s="37" t="s">
        <v>557</v>
      </c>
      <c r="M32" s="37" t="s">
        <v>554</v>
      </c>
      <c r="N32" s="37" t="s">
        <v>574</v>
      </c>
      <c r="O32" s="37" t="s">
        <v>553</v>
      </c>
      <c r="P32" s="38" t="s">
        <v>566</v>
      </c>
    </row>
    <row r="33" spans="2:16" ht="96.4" customHeight="1" thickTop="1" thickBot="1" x14ac:dyDescent="0.3">
      <c r="B33" s="258"/>
      <c r="C33" s="42" t="s">
        <v>42</v>
      </c>
      <c r="D33" s="33">
        <f>98+38</f>
        <v>136</v>
      </c>
      <c r="E33" s="33">
        <f>116+51</f>
        <v>167</v>
      </c>
      <c r="F33" s="40">
        <v>153</v>
      </c>
      <c r="G33" s="40">
        <f>163+72</f>
        <v>235</v>
      </c>
      <c r="H33" s="40">
        <f>257+98</f>
        <v>355</v>
      </c>
      <c r="I33" s="40">
        <f>195+68</f>
        <v>263</v>
      </c>
      <c r="J33" s="40">
        <v>181</v>
      </c>
      <c r="K33" s="40">
        <v>152</v>
      </c>
      <c r="L33" s="40">
        <v>189</v>
      </c>
      <c r="M33" s="40">
        <f>152+106</f>
        <v>258</v>
      </c>
      <c r="N33" s="40">
        <v>152</v>
      </c>
      <c r="O33" s="40">
        <v>179</v>
      </c>
      <c r="P33" s="41">
        <f>D27</f>
        <v>1948</v>
      </c>
    </row>
    <row r="34" spans="2:16" ht="97.5" customHeight="1" thickTop="1" x14ac:dyDescent="0.25">
      <c r="B34" s="267" t="s">
        <v>48</v>
      </c>
      <c r="C34" s="39" t="s">
        <v>36</v>
      </c>
      <c r="D34" s="37" t="s">
        <v>557</v>
      </c>
      <c r="E34" s="37" t="s">
        <v>557</v>
      </c>
      <c r="F34" s="37" t="s">
        <v>559</v>
      </c>
      <c r="G34" s="37" t="s">
        <v>565</v>
      </c>
      <c r="H34" s="37" t="s">
        <v>563</v>
      </c>
      <c r="I34" s="37" t="s">
        <v>560</v>
      </c>
      <c r="J34" s="37" t="s">
        <v>563</v>
      </c>
      <c r="K34" s="37" t="s">
        <v>563</v>
      </c>
      <c r="L34" s="37" t="s">
        <v>561</v>
      </c>
      <c r="M34" s="37" t="s">
        <v>557</v>
      </c>
      <c r="N34" s="37" t="s">
        <v>554</v>
      </c>
      <c r="O34" s="37" t="s">
        <v>587</v>
      </c>
      <c r="P34" s="38" t="s">
        <v>590</v>
      </c>
    </row>
    <row r="35" spans="2:16" ht="73.349999999999994" customHeight="1" thickBot="1" x14ac:dyDescent="0.3">
      <c r="B35" s="267"/>
      <c r="C35" s="43" t="s">
        <v>42</v>
      </c>
      <c r="D35" s="33">
        <v>141</v>
      </c>
      <c r="E35" s="40">
        <v>153</v>
      </c>
      <c r="F35" s="40">
        <v>140</v>
      </c>
      <c r="G35" s="40">
        <v>131</v>
      </c>
      <c r="H35" s="40">
        <v>309</v>
      </c>
      <c r="I35" s="40">
        <v>156</v>
      </c>
      <c r="J35" s="40">
        <v>135</v>
      </c>
      <c r="K35" s="40">
        <v>141</v>
      </c>
      <c r="L35" s="40">
        <v>167</v>
      </c>
      <c r="M35" s="40">
        <v>188</v>
      </c>
      <c r="N35" s="40">
        <v>142</v>
      </c>
      <c r="O35" s="40">
        <v>174</v>
      </c>
      <c r="P35" s="41">
        <f>H31+I31+J33+N29+O33</f>
        <v>1494</v>
      </c>
    </row>
    <row r="36" spans="2:16" ht="49.35" customHeight="1" thickTop="1" thickBot="1" x14ac:dyDescent="0.3">
      <c r="B36" s="253" t="s">
        <v>51</v>
      </c>
      <c r="C36" s="253"/>
      <c r="D36" s="25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16" ht="44.85" customHeight="1" thickTop="1" x14ac:dyDescent="0.25">
      <c r="B37" s="265" t="s">
        <v>35</v>
      </c>
      <c r="C37" s="265"/>
      <c r="D37" s="46" t="s">
        <v>53</v>
      </c>
      <c r="E37" s="46" t="s">
        <v>53</v>
      </c>
      <c r="F37" s="46" t="s">
        <v>53</v>
      </c>
      <c r="G37" s="46" t="s">
        <v>53</v>
      </c>
      <c r="H37" s="46" t="s">
        <v>53</v>
      </c>
      <c r="I37" s="46" t="s">
        <v>53</v>
      </c>
      <c r="J37" s="46" t="s">
        <v>53</v>
      </c>
      <c r="K37" s="46" t="s">
        <v>53</v>
      </c>
      <c r="L37" s="46" t="s">
        <v>53</v>
      </c>
      <c r="M37" s="46" t="s">
        <v>53</v>
      </c>
      <c r="N37" s="46" t="s">
        <v>53</v>
      </c>
      <c r="O37" s="47" t="s">
        <v>53</v>
      </c>
      <c r="P37" s="48" t="s">
        <v>53</v>
      </c>
    </row>
    <row r="38" spans="2:16" ht="44.85" customHeight="1" x14ac:dyDescent="0.25">
      <c r="B38" s="267" t="s">
        <v>40</v>
      </c>
      <c r="C38" s="267"/>
      <c r="D38" s="46" t="s">
        <v>52</v>
      </c>
      <c r="E38" s="46" t="s">
        <v>52</v>
      </c>
      <c r="F38" s="46" t="s">
        <v>52</v>
      </c>
      <c r="G38" s="46" t="s">
        <v>52</v>
      </c>
      <c r="H38" s="46" t="s">
        <v>52</v>
      </c>
      <c r="I38" s="46" t="s">
        <v>52</v>
      </c>
      <c r="J38" s="46" t="s">
        <v>52</v>
      </c>
      <c r="K38" s="46" t="s">
        <v>52</v>
      </c>
      <c r="L38" s="46" t="s">
        <v>52</v>
      </c>
      <c r="M38" s="46" t="s">
        <v>52</v>
      </c>
      <c r="N38" s="46" t="s">
        <v>52</v>
      </c>
      <c r="O38" s="47" t="s">
        <v>52</v>
      </c>
      <c r="P38" s="49" t="s">
        <v>52</v>
      </c>
    </row>
    <row r="39" spans="2:16" ht="44.85" customHeight="1" x14ac:dyDescent="0.25">
      <c r="B39" s="267" t="s">
        <v>43</v>
      </c>
      <c r="C39" s="267"/>
      <c r="D39" s="11" t="s">
        <v>54</v>
      </c>
      <c r="E39" s="11" t="s">
        <v>54</v>
      </c>
      <c r="F39" s="11" t="s">
        <v>54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 t="s">
        <v>54</v>
      </c>
      <c r="N39" s="46" t="s">
        <v>54</v>
      </c>
      <c r="O39" s="47" t="s">
        <v>54</v>
      </c>
      <c r="P39" s="49" t="s">
        <v>54</v>
      </c>
    </row>
    <row r="40" spans="2:16" ht="44.85" customHeight="1" x14ac:dyDescent="0.25">
      <c r="B40" s="267" t="s">
        <v>45</v>
      </c>
      <c r="C40" s="267"/>
      <c r="D40" s="11" t="s">
        <v>55</v>
      </c>
      <c r="E40" s="11" t="s">
        <v>55</v>
      </c>
      <c r="F40" s="11" t="s">
        <v>55</v>
      </c>
      <c r="G40" s="11" t="s">
        <v>56</v>
      </c>
      <c r="H40" s="11" t="s">
        <v>56</v>
      </c>
      <c r="I40" s="11" t="s">
        <v>55</v>
      </c>
      <c r="J40" s="11" t="s">
        <v>55</v>
      </c>
      <c r="K40" s="11" t="s">
        <v>56</v>
      </c>
      <c r="L40" s="11" t="s">
        <v>55</v>
      </c>
      <c r="M40" s="11" t="s">
        <v>55</v>
      </c>
      <c r="N40" s="50" t="s">
        <v>55</v>
      </c>
      <c r="O40" s="11" t="s">
        <v>56</v>
      </c>
      <c r="P40" s="49" t="s">
        <v>55</v>
      </c>
    </row>
    <row r="41" spans="2:16" ht="44.85" customHeight="1" thickBot="1" x14ac:dyDescent="0.3">
      <c r="B41" s="268" t="s">
        <v>48</v>
      </c>
      <c r="C41" s="268"/>
      <c r="D41" s="40" t="s">
        <v>56</v>
      </c>
      <c r="E41" s="40" t="s">
        <v>56</v>
      </c>
      <c r="F41" s="40" t="s">
        <v>56</v>
      </c>
      <c r="G41" s="214" t="s">
        <v>55</v>
      </c>
      <c r="H41" s="214" t="s">
        <v>55</v>
      </c>
      <c r="I41" s="40" t="s">
        <v>56</v>
      </c>
      <c r="J41" s="40" t="s">
        <v>56</v>
      </c>
      <c r="K41" s="11" t="s">
        <v>55</v>
      </c>
      <c r="L41" s="40" t="s">
        <v>56</v>
      </c>
      <c r="M41" s="40" t="s">
        <v>56</v>
      </c>
      <c r="N41" s="40" t="s">
        <v>56</v>
      </c>
      <c r="O41" s="40" t="s">
        <v>55</v>
      </c>
      <c r="P41" s="51" t="s">
        <v>56</v>
      </c>
    </row>
    <row r="42" spans="2:16" ht="44.85" customHeight="1" thickTop="1" thickBot="1" x14ac:dyDescent="0.3">
      <c r="B42" s="253" t="s">
        <v>58</v>
      </c>
      <c r="C42" s="253"/>
      <c r="D42" s="25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2:16" ht="39" customHeight="1" thickTop="1" thickBot="1" x14ac:dyDescent="0.3">
      <c r="B43" s="269" t="s">
        <v>59</v>
      </c>
      <c r="C43" s="52" t="s">
        <v>60</v>
      </c>
      <c r="D43" s="11">
        <v>1011</v>
      </c>
      <c r="E43" s="53">
        <v>1099</v>
      </c>
      <c r="F43" s="54">
        <v>1234</v>
      </c>
      <c r="G43" s="54">
        <v>957</v>
      </c>
      <c r="H43" s="54">
        <v>1202</v>
      </c>
      <c r="I43" s="55">
        <v>927</v>
      </c>
      <c r="J43" s="55">
        <v>1370</v>
      </c>
      <c r="K43" s="55">
        <v>982</v>
      </c>
      <c r="L43" s="55">
        <v>1140</v>
      </c>
      <c r="M43" s="55">
        <v>963</v>
      </c>
      <c r="N43" s="54">
        <v>818</v>
      </c>
      <c r="O43" s="54">
        <v>622</v>
      </c>
      <c r="P43" s="56">
        <f>SUM(D43:O43)</f>
        <v>12325</v>
      </c>
    </row>
    <row r="44" spans="2:16" ht="44.85" customHeight="1" thickTop="1" thickBot="1" x14ac:dyDescent="0.3">
      <c r="B44" s="269"/>
      <c r="C44" s="57" t="s">
        <v>61</v>
      </c>
      <c r="D44" s="188">
        <f>D43/(D43+D45+D47+D49)</f>
        <v>0.68588873812754414</v>
      </c>
      <c r="E44" s="188">
        <f>E43/(E43+E45+E47+E50)</f>
        <v>0.67340560243360792</v>
      </c>
      <c r="F44" s="188">
        <f t="shared" ref="F44:O44" si="2">F43/(F43+F45+F47+F49)</f>
        <v>0.66847237269772486</v>
      </c>
      <c r="G44" s="188">
        <f t="shared" si="2"/>
        <v>0.68454935622317592</v>
      </c>
      <c r="H44" s="188">
        <f t="shared" si="2"/>
        <v>0.61831275720164613</v>
      </c>
      <c r="I44" s="188">
        <f t="shared" si="2"/>
        <v>0.6046966731898239</v>
      </c>
      <c r="J44" s="188">
        <f t="shared" si="2"/>
        <v>0.76068850638534147</v>
      </c>
      <c r="K44" s="188">
        <f t="shared" si="2"/>
        <v>0.70394265232974906</v>
      </c>
      <c r="L44" s="188">
        <f t="shared" si="2"/>
        <v>0.59530026109660572</v>
      </c>
      <c r="M44" s="188">
        <f t="shared" si="2"/>
        <v>0.61572890025575444</v>
      </c>
      <c r="N44" s="188">
        <f t="shared" si="2"/>
        <v>0.5906137184115523</v>
      </c>
      <c r="O44" s="188">
        <f t="shared" si="2"/>
        <v>0.50120870265914585</v>
      </c>
      <c r="P44" s="60">
        <f>P43/(P$43+P$45+P$47+P$49)</f>
        <v>0.64742343856700113</v>
      </c>
    </row>
    <row r="45" spans="2:16" ht="31.35" customHeight="1" thickTop="1" thickBot="1" x14ac:dyDescent="0.3">
      <c r="B45" s="266" t="s">
        <v>72</v>
      </c>
      <c r="C45" s="52" t="s">
        <v>60</v>
      </c>
      <c r="D45" s="45">
        <v>426</v>
      </c>
      <c r="E45" s="45">
        <v>509</v>
      </c>
      <c r="F45" s="54">
        <v>587</v>
      </c>
      <c r="G45" s="54">
        <v>426</v>
      </c>
      <c r="H45" s="54">
        <v>683</v>
      </c>
      <c r="I45" s="55">
        <v>593</v>
      </c>
      <c r="J45" s="192">
        <v>424</v>
      </c>
      <c r="K45" s="192">
        <v>386</v>
      </c>
      <c r="L45" s="192">
        <v>708</v>
      </c>
      <c r="M45" s="192">
        <v>594</v>
      </c>
      <c r="N45" s="193">
        <v>553</v>
      </c>
      <c r="O45" s="196">
        <v>609</v>
      </c>
      <c r="P45" s="56">
        <f>SUM(D45:O45)</f>
        <v>6498</v>
      </c>
    </row>
    <row r="46" spans="2:16" ht="44.85" customHeight="1" thickTop="1" thickBot="1" x14ac:dyDescent="0.3">
      <c r="B46" s="266"/>
      <c r="C46" s="61" t="s">
        <v>61</v>
      </c>
      <c r="D46" s="188">
        <f>D45/(D43+D45+D47+D49)</f>
        <v>0.28900949796472186</v>
      </c>
      <c r="E46" s="188">
        <f t="shared" ref="E46:O46" si="3">E45/(E43+E45+E47+E49)</f>
        <v>0.31093463653023823</v>
      </c>
      <c r="F46" s="188">
        <f t="shared" si="3"/>
        <v>0.31798483206933909</v>
      </c>
      <c r="G46" s="188">
        <f t="shared" si="3"/>
        <v>0.30472103004291845</v>
      </c>
      <c r="H46" s="188">
        <f t="shared" si="3"/>
        <v>0.35133744855967081</v>
      </c>
      <c r="I46" s="188">
        <f t="shared" si="3"/>
        <v>0.38682322243966077</v>
      </c>
      <c r="J46" s="197">
        <f t="shared" si="3"/>
        <v>0.23542476401998891</v>
      </c>
      <c r="K46" s="197">
        <f t="shared" si="3"/>
        <v>0.27670250896057347</v>
      </c>
      <c r="L46" s="197">
        <f t="shared" si="3"/>
        <v>0.36971279373368149</v>
      </c>
      <c r="M46" s="197">
        <f t="shared" si="3"/>
        <v>0.37979539641943733</v>
      </c>
      <c r="N46" s="197">
        <f t="shared" si="3"/>
        <v>0.39927797833935019</v>
      </c>
      <c r="O46" s="198">
        <f t="shared" si="3"/>
        <v>0.49073327961321517</v>
      </c>
      <c r="P46" s="66">
        <f>P45/(P$43+P$45+P$47+P$49)</f>
        <v>0.34133529442664284</v>
      </c>
    </row>
    <row r="47" spans="2:16" ht="31.35" customHeight="1" thickTop="1" x14ac:dyDescent="0.25">
      <c r="B47" s="271" t="s">
        <v>83</v>
      </c>
      <c r="C47" s="57" t="s">
        <v>60</v>
      </c>
      <c r="D47" s="54">
        <v>35</v>
      </c>
      <c r="E47" s="45">
        <v>24</v>
      </c>
      <c r="F47" s="54">
        <v>24</v>
      </c>
      <c r="G47" s="54">
        <v>13</v>
      </c>
      <c r="H47" s="54">
        <v>37</v>
      </c>
      <c r="I47" s="55">
        <v>7</v>
      </c>
      <c r="J47" s="194">
        <v>5</v>
      </c>
      <c r="K47" s="194">
        <v>7</v>
      </c>
      <c r="L47" s="194">
        <v>27</v>
      </c>
      <c r="M47" s="194">
        <v>4</v>
      </c>
      <c r="N47" s="195">
        <v>10</v>
      </c>
      <c r="O47" s="195">
        <v>6</v>
      </c>
      <c r="P47" s="68">
        <f>SUM(D47:O47)</f>
        <v>199</v>
      </c>
    </row>
    <row r="48" spans="2:16" ht="44.85" customHeight="1" thickBot="1" x14ac:dyDescent="0.3">
      <c r="B48" s="271" t="s">
        <v>84</v>
      </c>
      <c r="C48" s="57" t="s">
        <v>61</v>
      </c>
      <c r="D48" s="188">
        <f>D47/(D45+D47+D49+D43)</f>
        <v>2.3744911804613297E-2</v>
      </c>
      <c r="E48" s="188">
        <f t="shared" ref="E48:O48" si="4">E47/(E45+E47+E49+E43)</f>
        <v>1.4660965180207697E-2</v>
      </c>
      <c r="F48" s="188">
        <f t="shared" si="4"/>
        <v>1.3001083423618635E-2</v>
      </c>
      <c r="G48" s="188">
        <f t="shared" si="4"/>
        <v>9.2989985693848354E-3</v>
      </c>
      <c r="H48" s="188">
        <f t="shared" si="4"/>
        <v>1.9032921810699589E-2</v>
      </c>
      <c r="I48" s="188">
        <f t="shared" si="4"/>
        <v>4.5662100456621002E-3</v>
      </c>
      <c r="J48" s="188">
        <f t="shared" si="4"/>
        <v>2.7762354247640201E-3</v>
      </c>
      <c r="K48" s="188">
        <f t="shared" si="4"/>
        <v>5.017921146953405E-3</v>
      </c>
      <c r="L48" s="188">
        <f t="shared" si="4"/>
        <v>1.4099216710182768E-2</v>
      </c>
      <c r="M48" s="188">
        <f t="shared" si="4"/>
        <v>2.5575447570332483E-3</v>
      </c>
      <c r="N48" s="188">
        <f t="shared" si="4"/>
        <v>7.2202166064981952E-3</v>
      </c>
      <c r="O48" s="188">
        <f t="shared" si="4"/>
        <v>4.8348106365834007E-3</v>
      </c>
      <c r="P48" s="60">
        <f>P47/(P$43+P$45+P$47+P$49)</f>
        <v>1.0453327730209593E-2</v>
      </c>
    </row>
    <row r="49" spans="2:258" ht="31.35" customHeight="1" thickTop="1" thickBot="1" x14ac:dyDescent="0.3">
      <c r="B49" s="266" t="s">
        <v>95</v>
      </c>
      <c r="C49" s="52" t="s">
        <v>60</v>
      </c>
      <c r="D49" s="54">
        <v>2</v>
      </c>
      <c r="E49" s="54">
        <v>5</v>
      </c>
      <c r="F49" s="69" t="s">
        <v>96</v>
      </c>
      <c r="G49" s="54">
        <v>2</v>
      </c>
      <c r="H49" s="69" t="s">
        <v>567</v>
      </c>
      <c r="I49" s="55">
        <v>6</v>
      </c>
      <c r="J49" s="70" t="s">
        <v>568</v>
      </c>
      <c r="K49" s="70" t="s">
        <v>569</v>
      </c>
      <c r="L49" s="70" t="s">
        <v>570</v>
      </c>
      <c r="M49" s="70" t="s">
        <v>197</v>
      </c>
      <c r="N49" s="69" t="s">
        <v>588</v>
      </c>
      <c r="O49" s="69" t="s">
        <v>588</v>
      </c>
      <c r="P49" s="56">
        <f>SUM(D49:O49)</f>
        <v>15</v>
      </c>
    </row>
    <row r="50" spans="2:258" ht="44.85" customHeight="1" thickTop="1" thickBot="1" x14ac:dyDescent="0.3">
      <c r="B50" s="266"/>
      <c r="C50" s="61" t="s">
        <v>61</v>
      </c>
      <c r="D50" s="188">
        <f>D49/(D47+D49+D45+D43)</f>
        <v>1.3568521031207597E-3</v>
      </c>
      <c r="E50" s="188">
        <f t="shared" ref="E50:O50" si="5">E49/(E47+E49+E45+E43)</f>
        <v>3.0543677458766036E-3</v>
      </c>
      <c r="F50" s="188">
        <f t="shared" si="5"/>
        <v>5.4171180931744309E-4</v>
      </c>
      <c r="G50" s="188">
        <f t="shared" si="5"/>
        <v>1.4306151645207439E-3</v>
      </c>
      <c r="H50" s="188">
        <f t="shared" si="5"/>
        <v>1.131687242798354E-2</v>
      </c>
      <c r="I50" s="188">
        <f t="shared" si="5"/>
        <v>3.9138943248532287E-3</v>
      </c>
      <c r="J50" s="188">
        <f t="shared" si="5"/>
        <v>1.1104941699056081E-3</v>
      </c>
      <c r="K50" s="188">
        <f t="shared" si="5"/>
        <v>1.4336917562724014E-2</v>
      </c>
      <c r="L50" s="188">
        <f t="shared" si="5"/>
        <v>2.0887728459530026E-2</v>
      </c>
      <c r="M50" s="188">
        <f t="shared" si="5"/>
        <v>1.9181585677749361E-3</v>
      </c>
      <c r="N50" s="188">
        <f t="shared" si="5"/>
        <v>2.8880866425992778E-3</v>
      </c>
      <c r="O50" s="188">
        <f t="shared" si="5"/>
        <v>3.2232070910556002E-3</v>
      </c>
      <c r="P50" s="66">
        <f>P49/(P$43+P$45+P$47+P$49)</f>
        <v>7.879392761464516E-4</v>
      </c>
    </row>
    <row r="51" spans="2:258" ht="43.15" customHeight="1" thickTop="1" thickBot="1" x14ac:dyDescent="0.3">
      <c r="B51" s="253" t="s">
        <v>107</v>
      </c>
      <c r="C51" s="253"/>
      <c r="D51" s="25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2:258" ht="44.85" customHeight="1" thickTop="1" thickBot="1" x14ac:dyDescent="0.3">
      <c r="B52" s="272" t="s">
        <v>108</v>
      </c>
      <c r="C52" s="52" t="s">
        <v>60</v>
      </c>
      <c r="D52" s="54">
        <v>997</v>
      </c>
      <c r="E52" s="54">
        <v>1133</v>
      </c>
      <c r="F52" s="54">
        <v>1268</v>
      </c>
      <c r="G52" s="54">
        <v>986</v>
      </c>
      <c r="H52" s="54">
        <v>1339</v>
      </c>
      <c r="I52" s="55">
        <v>1077</v>
      </c>
      <c r="J52" s="55">
        <v>1135</v>
      </c>
      <c r="K52" s="55">
        <v>859</v>
      </c>
      <c r="L52" s="55">
        <v>1176</v>
      </c>
      <c r="M52" s="55">
        <v>1312</v>
      </c>
      <c r="N52" s="54">
        <v>1166</v>
      </c>
      <c r="O52" s="54">
        <v>893</v>
      </c>
      <c r="P52" s="56">
        <f>SUM(D52:O52)</f>
        <v>13341</v>
      </c>
    </row>
    <row r="53" spans="2:258" ht="32.25" customHeight="1" thickTop="1" thickBot="1" x14ac:dyDescent="0.3">
      <c r="B53" s="272"/>
      <c r="C53" s="57" t="s">
        <v>61</v>
      </c>
      <c r="D53" s="188">
        <f>D52/(D52+D54+D56)</f>
        <v>0.86096718480138168</v>
      </c>
      <c r="E53" s="188">
        <f t="shared" ref="E53:O53" si="6">E52/(E52+E54+E56)</f>
        <v>0.88932496075353218</v>
      </c>
      <c r="F53" s="188">
        <f t="shared" si="6"/>
        <v>0.86612021857923494</v>
      </c>
      <c r="G53" s="188">
        <f t="shared" si="6"/>
        <v>0.87256637168141593</v>
      </c>
      <c r="H53" s="188">
        <f t="shared" si="6"/>
        <v>0.88558201058201058</v>
      </c>
      <c r="I53" s="188">
        <f t="shared" si="6"/>
        <v>0.88351107465135359</v>
      </c>
      <c r="J53" s="188">
        <f t="shared" si="6"/>
        <v>0.75818303273213095</v>
      </c>
      <c r="K53" s="188">
        <f t="shared" si="6"/>
        <v>0.74501300954032956</v>
      </c>
      <c r="L53" s="188">
        <f t="shared" si="6"/>
        <v>0.82295311406578031</v>
      </c>
      <c r="M53" s="188">
        <f t="shared" si="6"/>
        <v>0.8448164842240824</v>
      </c>
      <c r="N53" s="188">
        <f t="shared" si="6"/>
        <v>0.84615384615384615</v>
      </c>
      <c r="O53" s="188">
        <f t="shared" si="6"/>
        <v>0.72307692307692306</v>
      </c>
      <c r="P53" s="60">
        <f>P52/(P$52+P$54+P$56)</f>
        <v>0.83826578699340248</v>
      </c>
    </row>
    <row r="54" spans="2:258" ht="44.85" customHeight="1" thickTop="1" thickBot="1" x14ac:dyDescent="0.3">
      <c r="B54" s="273" t="s">
        <v>118</v>
      </c>
      <c r="C54" s="52" t="s">
        <v>60</v>
      </c>
      <c r="D54" s="54">
        <v>151</v>
      </c>
      <c r="E54" s="54">
        <v>129</v>
      </c>
      <c r="F54" s="54">
        <v>179</v>
      </c>
      <c r="G54" s="54">
        <v>131</v>
      </c>
      <c r="H54" s="54">
        <v>162</v>
      </c>
      <c r="I54" s="55">
        <v>130</v>
      </c>
      <c r="J54" s="55">
        <v>346</v>
      </c>
      <c r="K54" s="55">
        <v>284</v>
      </c>
      <c r="L54" s="55">
        <v>247</v>
      </c>
      <c r="M54" s="55">
        <v>220</v>
      </c>
      <c r="N54" s="54">
        <v>194</v>
      </c>
      <c r="O54" s="199">
        <v>327</v>
      </c>
      <c r="P54" s="56">
        <f>SUM(D54:O54)</f>
        <v>2500</v>
      </c>
    </row>
    <row r="55" spans="2:258" ht="39" customHeight="1" thickTop="1" thickBot="1" x14ac:dyDescent="0.3">
      <c r="B55" s="273"/>
      <c r="C55" s="61" t="s">
        <v>61</v>
      </c>
      <c r="D55" s="200">
        <f>D54/(D52+D54+D56)</f>
        <v>0.1303972366148532</v>
      </c>
      <c r="E55" s="200">
        <f t="shared" ref="E55:P55" si="7">E54/(E52+E54+E56)</f>
        <v>0.10125588697017268</v>
      </c>
      <c r="F55" s="200">
        <f t="shared" si="7"/>
        <v>0.12226775956284153</v>
      </c>
      <c r="G55" s="200">
        <f t="shared" si="7"/>
        <v>0.11592920353982301</v>
      </c>
      <c r="H55" s="200">
        <f t="shared" si="7"/>
        <v>0.10714285714285714</v>
      </c>
      <c r="I55" s="200">
        <f t="shared" si="7"/>
        <v>0.10664479081214109</v>
      </c>
      <c r="J55" s="200">
        <f t="shared" si="7"/>
        <v>0.23112892451569805</v>
      </c>
      <c r="K55" s="200">
        <f t="shared" si="7"/>
        <v>0.24631396357328708</v>
      </c>
      <c r="L55" s="200">
        <f t="shared" si="7"/>
        <v>0.1728481455563331</v>
      </c>
      <c r="M55" s="200">
        <f t="shared" si="7"/>
        <v>0.14166130070830651</v>
      </c>
      <c r="N55" s="200">
        <f t="shared" si="7"/>
        <v>0.14078374455732948</v>
      </c>
      <c r="O55" s="201">
        <f t="shared" si="7"/>
        <v>0.26477732793522268</v>
      </c>
      <c r="P55" s="211">
        <f t="shared" si="7"/>
        <v>0.15708451146716934</v>
      </c>
    </row>
    <row r="56" spans="2:258" ht="44.85" customHeight="1" thickTop="1" thickBot="1" x14ac:dyDescent="0.3">
      <c r="B56" s="274" t="s">
        <v>128</v>
      </c>
      <c r="C56" s="57" t="s">
        <v>60</v>
      </c>
      <c r="D56" s="212">
        <v>10</v>
      </c>
      <c r="E56" s="54">
        <v>12</v>
      </c>
      <c r="F56" s="54">
        <v>17</v>
      </c>
      <c r="G56" s="54">
        <v>13</v>
      </c>
      <c r="H56" s="69" t="s">
        <v>194</v>
      </c>
      <c r="I56" s="55">
        <v>12</v>
      </c>
      <c r="J56" s="70" t="s">
        <v>571</v>
      </c>
      <c r="K56" s="55">
        <v>10</v>
      </c>
      <c r="L56" s="70" t="s">
        <v>447</v>
      </c>
      <c r="M56" s="70" t="s">
        <v>573</v>
      </c>
      <c r="N56" s="69" t="s">
        <v>589</v>
      </c>
      <c r="O56" s="203" t="s">
        <v>304</v>
      </c>
      <c r="P56" s="56">
        <f>SUM(D56:O56)</f>
        <v>74</v>
      </c>
    </row>
    <row r="57" spans="2:258" ht="49.35" customHeight="1" thickTop="1" thickBot="1" x14ac:dyDescent="0.3">
      <c r="B57" s="274"/>
      <c r="C57" s="61" t="s">
        <v>61</v>
      </c>
      <c r="D57" s="213">
        <f>D56/(D52+D54+D56)</f>
        <v>8.6355785837651123E-3</v>
      </c>
      <c r="E57" s="204">
        <f t="shared" ref="E57:O57" si="8">E56/(E52+E54+E56)</f>
        <v>9.4191522762951327E-3</v>
      </c>
      <c r="F57" s="204">
        <f t="shared" si="8"/>
        <v>1.1612021857923498E-2</v>
      </c>
      <c r="G57" s="204">
        <f t="shared" si="8"/>
        <v>1.1504424778761062E-2</v>
      </c>
      <c r="H57" s="204">
        <f t="shared" si="8"/>
        <v>7.2751322751322747E-3</v>
      </c>
      <c r="I57" s="204">
        <f t="shared" si="8"/>
        <v>9.8441345365053324E-3</v>
      </c>
      <c r="J57" s="204">
        <f t="shared" si="8"/>
        <v>1.068804275217101E-2</v>
      </c>
      <c r="K57" s="204">
        <f t="shared" si="8"/>
        <v>8.6730268863833473E-3</v>
      </c>
      <c r="L57" s="204">
        <f t="shared" si="8"/>
        <v>4.1987403778866337E-3</v>
      </c>
      <c r="M57" s="204">
        <f t="shared" si="8"/>
        <v>1.3522215067611075E-2</v>
      </c>
      <c r="N57" s="204">
        <f t="shared" si="8"/>
        <v>1.3062409288824383E-2</v>
      </c>
      <c r="O57" s="205">
        <f t="shared" si="8"/>
        <v>1.2145748987854251E-2</v>
      </c>
      <c r="P57" s="66">
        <f>P56/(P$52+P$54+P$56)</f>
        <v>4.6497015394282122E-3</v>
      </c>
    </row>
    <row r="58" spans="2:258" ht="44.65" customHeight="1" thickTop="1" x14ac:dyDescent="0.25">
      <c r="B58" s="72"/>
      <c r="C58" s="7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</row>
    <row r="59" spans="2:258" s="74" customFormat="1" ht="17.25" customHeight="1" x14ac:dyDescent="0.25">
      <c r="B59" s="275" t="s">
        <v>142</v>
      </c>
      <c r="C59" s="2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  <c r="IW59" s="117"/>
      <c r="IX59" s="117"/>
    </row>
    <row r="60" spans="2:258" s="74" customFormat="1" ht="16.149999999999999" customHeight="1" x14ac:dyDescent="0.25">
      <c r="B60" s="276" t="s">
        <v>142</v>
      </c>
      <c r="C60" s="2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</row>
    <row r="61" spans="2:258" s="74" customFormat="1" ht="20.65" customHeight="1" x14ac:dyDescent="0.25">
      <c r="B61" s="78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</row>
    <row r="62" spans="2:258" s="74" customFormat="1" ht="13.9" customHeight="1" x14ac:dyDescent="0.25">
      <c r="B62" s="277"/>
      <c r="C62" s="277"/>
      <c r="D62" s="277"/>
      <c r="E62" s="277"/>
      <c r="F62" s="277"/>
      <c r="G62" s="277"/>
      <c r="H62" s="277"/>
      <c r="I62" s="277"/>
      <c r="J62" s="79"/>
      <c r="K62" s="79"/>
      <c r="L62" s="79"/>
      <c r="M62" s="79"/>
      <c r="N62" s="79"/>
      <c r="O62" s="79"/>
      <c r="P62" s="79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  <c r="IW62" s="117"/>
      <c r="IX62" s="117"/>
    </row>
    <row r="63" spans="2:258" s="74" customFormat="1" ht="18.399999999999999" customHeight="1" x14ac:dyDescent="0.25">
      <c r="B63" s="270" t="s">
        <v>144</v>
      </c>
      <c r="C63" s="270"/>
      <c r="D63" s="270"/>
      <c r="E63" s="270"/>
      <c r="F63" s="270"/>
      <c r="G63" s="270"/>
      <c r="H63" s="270"/>
      <c r="I63" s="270"/>
      <c r="J63" s="79"/>
      <c r="K63" s="79"/>
      <c r="L63" s="79"/>
      <c r="M63" s="79"/>
      <c r="N63" s="79"/>
      <c r="O63" s="79"/>
      <c r="P63" s="79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  <c r="IW63" s="117"/>
      <c r="IX63" s="117"/>
    </row>
    <row r="64" spans="2:258" s="74" customFormat="1" ht="18.399999999999999" customHeight="1" x14ac:dyDescent="0.25"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  <c r="IW64" s="117"/>
      <c r="IX64" s="117"/>
    </row>
    <row r="65" spans="2:258" s="74" customFormat="1" ht="27.2" customHeight="1" x14ac:dyDescent="0.25">
      <c r="B65" s="278" t="s">
        <v>575</v>
      </c>
      <c r="C65" s="278"/>
      <c r="D65" s="278"/>
      <c r="E65" s="278"/>
      <c r="F65" s="278"/>
      <c r="G65" s="278"/>
      <c r="H65" s="81"/>
      <c r="I65" s="81"/>
      <c r="J65" s="79"/>
      <c r="K65" s="79"/>
      <c r="L65" s="79"/>
      <c r="M65" s="79"/>
      <c r="N65" s="79"/>
      <c r="O65" s="79"/>
      <c r="P65" s="79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  <c r="IW65" s="117"/>
      <c r="IX65" s="117"/>
    </row>
    <row r="66" spans="2:258" s="74" customFormat="1" ht="25.15" customHeight="1" x14ac:dyDescent="0.25">
      <c r="B66" s="270" t="s">
        <v>576</v>
      </c>
      <c r="C66" s="270"/>
      <c r="D66" s="270"/>
      <c r="E66" s="270"/>
      <c r="F66" s="270"/>
      <c r="G66" s="270"/>
      <c r="H66" s="81"/>
      <c r="I66" s="81"/>
      <c r="J66" s="79"/>
      <c r="K66" s="79"/>
      <c r="L66" s="79"/>
      <c r="M66" s="79"/>
      <c r="N66" s="79"/>
      <c r="O66" s="79"/>
      <c r="P66" s="79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  <c r="IW66" s="117"/>
      <c r="IX66" s="117"/>
    </row>
    <row r="67" spans="2:258" s="74" customFormat="1" ht="25.15" customHeight="1" x14ac:dyDescent="0.25">
      <c r="B67" s="80"/>
      <c r="C67" s="81"/>
      <c r="D67" s="81"/>
      <c r="E67" s="81"/>
      <c r="F67" s="81"/>
      <c r="G67" s="81"/>
      <c r="H67" s="81"/>
      <c r="I67" s="81"/>
      <c r="J67" s="79"/>
      <c r="K67" s="79"/>
      <c r="L67" s="79"/>
      <c r="M67" s="79"/>
      <c r="N67" s="79"/>
      <c r="O67" s="79"/>
      <c r="P67" s="79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  <c r="IW67" s="117"/>
      <c r="IX67" s="117"/>
    </row>
    <row r="68" spans="2:258" s="74" customFormat="1" ht="11.45" customHeight="1" x14ac:dyDescent="0.25">
      <c r="B68" s="277" t="s">
        <v>145</v>
      </c>
      <c r="C68" s="277"/>
      <c r="D68" s="277"/>
      <c r="E68" s="277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  <c r="IW68" s="117"/>
      <c r="IX68" s="117"/>
    </row>
    <row r="69" spans="2:258" s="74" customFormat="1" ht="16.149999999999999" customHeight="1" x14ac:dyDescent="0.25">
      <c r="B69" s="270" t="s">
        <v>146</v>
      </c>
      <c r="C69" s="270"/>
      <c r="D69" s="270"/>
      <c r="E69" s="270"/>
      <c r="F69" s="270"/>
      <c r="G69" s="270"/>
      <c r="H69" s="79"/>
      <c r="I69" s="79"/>
      <c r="J69" s="79"/>
      <c r="K69" s="79"/>
      <c r="L69" s="79"/>
      <c r="M69" s="79"/>
      <c r="N69" s="79"/>
      <c r="O69" s="79"/>
      <c r="P69" s="79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  <c r="IW69" s="117"/>
      <c r="IX69" s="117"/>
    </row>
    <row r="70" spans="2:258" s="74" customFormat="1" ht="16.149999999999999" customHeight="1" x14ac:dyDescent="0.25">
      <c r="B70" s="80"/>
      <c r="C70" s="81"/>
      <c r="D70" s="81"/>
      <c r="E70" s="81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  <c r="IW70" s="117"/>
      <c r="IX70" s="117"/>
    </row>
    <row r="71" spans="2:258" s="74" customFormat="1" ht="14.85" customHeight="1" x14ac:dyDescent="0.25">
      <c r="B71" s="277" t="s">
        <v>578</v>
      </c>
      <c r="C71" s="277"/>
      <c r="D71" s="277"/>
      <c r="E71" s="277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  <c r="IW71" s="117"/>
      <c r="IX71" s="117"/>
    </row>
    <row r="72" spans="2:258" s="74" customFormat="1" ht="19.5" customHeight="1" x14ac:dyDescent="0.25">
      <c r="B72" s="279" t="s">
        <v>579</v>
      </c>
      <c r="C72" s="279"/>
      <c r="D72" s="279"/>
      <c r="E72" s="2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  <c r="IW72" s="117"/>
      <c r="IX72" s="117"/>
    </row>
    <row r="73" spans="2:258" s="74" customFormat="1" ht="25.15" customHeight="1" x14ac:dyDescent="0.25">
      <c r="B73" s="82"/>
      <c r="C73" s="81"/>
      <c r="D73" s="81"/>
      <c r="E73" s="81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  <c r="IW73" s="117"/>
      <c r="IX73" s="117"/>
    </row>
    <row r="74" spans="2:258" s="74" customFormat="1" ht="13.9" customHeight="1" x14ac:dyDescent="0.25">
      <c r="B74" s="277" t="s">
        <v>147</v>
      </c>
      <c r="C74" s="277"/>
      <c r="D74" s="277"/>
      <c r="E74" s="277"/>
      <c r="F74" s="117"/>
      <c r="G74" s="117"/>
      <c r="H74" s="117"/>
      <c r="I74" s="117"/>
      <c r="J74" s="117"/>
      <c r="K74" s="117"/>
      <c r="L74" s="117"/>
      <c r="M74" s="83"/>
      <c r="N74" s="83"/>
      <c r="O74" s="83"/>
      <c r="P74" s="83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  <c r="IW74" s="117"/>
      <c r="IX74" s="117"/>
    </row>
    <row r="75" spans="2:258" s="74" customFormat="1" ht="16.149999999999999" customHeight="1" x14ac:dyDescent="0.25">
      <c r="B75" s="84" t="s">
        <v>148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3"/>
      <c r="N75" s="83"/>
      <c r="O75" s="83"/>
      <c r="P75" s="83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  <c r="IW75" s="117"/>
      <c r="IX75" s="117"/>
    </row>
    <row r="76" spans="2:258" s="74" customFormat="1" ht="29.85" customHeight="1" x14ac:dyDescent="0.25">
      <c r="B76" s="117"/>
      <c r="C76" s="117"/>
      <c r="D76" s="117"/>
      <c r="E76" s="117"/>
      <c r="F76" s="117"/>
      <c r="G76" s="117"/>
      <c r="H76" s="85"/>
      <c r="I76" s="85"/>
      <c r="J76" s="86"/>
      <c r="K76" s="86"/>
      <c r="L76" s="86"/>
      <c r="M76" s="83"/>
      <c r="N76" s="83"/>
      <c r="O76" s="83"/>
      <c r="P76" s="83"/>
      <c r="Q76" s="8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  <c r="IW76" s="117"/>
      <c r="IX76" s="117"/>
    </row>
    <row r="77" spans="2:258" s="74" customFormat="1" ht="17.649999999999999" customHeight="1" x14ac:dyDescent="0.25">
      <c r="B77" s="117" t="s">
        <v>149</v>
      </c>
      <c r="C77" s="117"/>
      <c r="D77" s="117"/>
      <c r="E77" s="117"/>
      <c r="F77" s="117"/>
      <c r="G77" s="117"/>
      <c r="H77" s="85"/>
      <c r="I77" s="85"/>
      <c r="J77" s="86"/>
      <c r="K77" s="86"/>
      <c r="L77" s="86"/>
      <c r="M77" s="83"/>
      <c r="N77" s="83"/>
      <c r="O77" s="83"/>
      <c r="P77" s="83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  <c r="IW77" s="117"/>
      <c r="IX77" s="117"/>
    </row>
    <row r="78" spans="2:258" s="74" customFormat="1" ht="13.15" customHeight="1" x14ac:dyDescent="0.25">
      <c r="B78" s="117" t="s">
        <v>150</v>
      </c>
      <c r="C78" s="88"/>
      <c r="D78" s="117"/>
      <c r="E78" s="117"/>
      <c r="F78" s="117"/>
      <c r="G78" s="117"/>
      <c r="H78" s="89"/>
      <c r="I78" s="89"/>
      <c r="J78" s="86"/>
      <c r="K78" s="86"/>
      <c r="L78" s="86"/>
      <c r="M78" s="86"/>
      <c r="N78" s="86"/>
      <c r="O78" s="86"/>
      <c r="P78" s="86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  <c r="IW78" s="117"/>
      <c r="IX78" s="117"/>
    </row>
    <row r="79" spans="2:258" s="74" customFormat="1" ht="18.399999999999999" customHeight="1" x14ac:dyDescent="0.25">
      <c r="B79" s="117"/>
      <c r="C79" s="117"/>
      <c r="D79" s="117"/>
      <c r="E79" s="117"/>
      <c r="F79" s="117"/>
      <c r="G79" s="117"/>
      <c r="H79" s="89"/>
      <c r="I79" s="89"/>
      <c r="J79" s="86"/>
      <c r="K79" s="86"/>
      <c r="L79" s="86"/>
      <c r="M79" s="86"/>
      <c r="N79" s="86"/>
      <c r="O79" s="86"/>
      <c r="P79" s="86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  <c r="IW79" s="117"/>
      <c r="IX79" s="117"/>
    </row>
    <row r="80" spans="2:258" s="74" customFormat="1" ht="25.15" customHeight="1" x14ac:dyDescent="0.25">
      <c r="B80" s="11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</row>
    <row r="81" spans="1:258" s="74" customFormat="1" ht="17.25" customHeight="1" x14ac:dyDescent="0.2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</row>
    <row r="82" spans="1:258" s="92" customFormat="1" ht="47.65" customHeight="1" x14ac:dyDescent="0.25">
      <c r="A82" s="74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</row>
    <row r="83" spans="1:258" ht="33.950000000000003" customHeight="1" x14ac:dyDescent="0.25">
      <c r="B83" s="142"/>
      <c r="Q83" s="93"/>
    </row>
    <row r="84" spans="1:258" ht="19.350000000000001" customHeight="1" x14ac:dyDescent="0.25">
      <c r="B84" s="142"/>
    </row>
    <row r="87" spans="1:258" x14ac:dyDescent="0.25">
      <c r="A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  <c r="IV87" s="95"/>
      <c r="IW87" s="95"/>
      <c r="IX87" s="95"/>
    </row>
    <row r="88" spans="1:258" x14ac:dyDescent="0.25">
      <c r="A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  <c r="IV88" s="95"/>
      <c r="IW88" s="95"/>
      <c r="IX88" s="95"/>
    </row>
    <row r="89" spans="1:258" x14ac:dyDescent="0.25"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  <c r="IV89" s="95"/>
      <c r="IW89" s="95"/>
      <c r="IX89" s="95"/>
    </row>
    <row r="90" spans="1:258" x14ac:dyDescent="0.25"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</row>
    <row r="91" spans="1:258" x14ac:dyDescent="0.25"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  <c r="IV91" s="95"/>
      <c r="IW91" s="95"/>
      <c r="IX91" s="95"/>
    </row>
    <row r="92" spans="1:258" x14ac:dyDescent="0.25"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  <c r="IV92" s="95"/>
      <c r="IW92" s="95"/>
      <c r="IX92" s="95"/>
    </row>
    <row r="93" spans="1:258" x14ac:dyDescent="0.25"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  <c r="IV93" s="95"/>
      <c r="IW93" s="95"/>
      <c r="IX93" s="95"/>
    </row>
    <row r="94" spans="1:258" x14ac:dyDescent="0.25"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  <c r="IV94" s="95"/>
      <c r="IW94" s="95"/>
      <c r="IX94" s="95"/>
    </row>
    <row r="95" spans="1:258" x14ac:dyDescent="0.25">
      <c r="Q95" s="96"/>
    </row>
    <row r="96" spans="1:258" x14ac:dyDescent="0.25">
      <c r="Q96" s="96"/>
    </row>
    <row r="97" spans="17:17" ht="30" customHeight="1" x14ac:dyDescent="0.25">
      <c r="Q97" s="96"/>
    </row>
    <row r="98" spans="17:17" ht="31.5" customHeight="1" x14ac:dyDescent="0.25">
      <c r="Q98" s="96"/>
    </row>
    <row r="99" spans="17:17" ht="30" customHeight="1" x14ac:dyDescent="0.25"/>
    <row r="100" spans="17:17" ht="30" customHeight="1" x14ac:dyDescent="0.25"/>
    <row r="1048576" ht="12.75" customHeight="1" x14ac:dyDescent="0.25"/>
  </sheetData>
  <mergeCells count="53">
    <mergeCell ref="B15:C15"/>
    <mergeCell ref="B4:P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  <mergeCell ref="B28:B2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P25"/>
    <mergeCell ref="B26:B27"/>
    <mergeCell ref="B45:B46"/>
    <mergeCell ref="B30:B31"/>
    <mergeCell ref="B32:B33"/>
    <mergeCell ref="B34:B35"/>
    <mergeCell ref="B36:D36"/>
    <mergeCell ref="B37:C37"/>
    <mergeCell ref="B38:C38"/>
    <mergeCell ref="B39:C39"/>
    <mergeCell ref="B40:C40"/>
    <mergeCell ref="B41:C41"/>
    <mergeCell ref="B42:D42"/>
    <mergeCell ref="B43:B44"/>
    <mergeCell ref="B66:G66"/>
    <mergeCell ref="B47:B48"/>
    <mergeCell ref="B49:B50"/>
    <mergeCell ref="B51:D51"/>
    <mergeCell ref="B52:B53"/>
    <mergeCell ref="B54:B55"/>
    <mergeCell ref="B56:B57"/>
    <mergeCell ref="B59:C59"/>
    <mergeCell ref="B60:C60"/>
    <mergeCell ref="B62:I62"/>
    <mergeCell ref="B63:I63"/>
    <mergeCell ref="B65:G65"/>
    <mergeCell ref="B68:E68"/>
    <mergeCell ref="B69:G69"/>
    <mergeCell ref="B71:E71"/>
    <mergeCell ref="B72:E72"/>
    <mergeCell ref="B74:E7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B6B"/>
  </sheetPr>
  <dimension ref="A1:IX1048576"/>
  <sheetViews>
    <sheetView topLeftCell="A2" zoomScale="68" zoomScaleNormal="68" workbookViewId="0">
      <selection activeCell="B71" sqref="B71:E71"/>
    </sheetView>
  </sheetViews>
  <sheetFormatPr baseColWidth="10" defaultColWidth="8.7109375" defaultRowHeight="15" x14ac:dyDescent="0.25"/>
  <cols>
    <col min="1" max="1" width="2.5703125" customWidth="1"/>
    <col min="2" max="2" width="17.7109375" style="1" customWidth="1"/>
    <col min="3" max="3" width="24.7109375" style="1" customWidth="1"/>
    <col min="4" max="15" width="20.85546875" style="1" customWidth="1"/>
    <col min="16" max="16" width="20.7109375" style="1" customWidth="1"/>
    <col min="17" max="258" width="8.7109375" style="1"/>
  </cols>
  <sheetData>
    <row r="1" spans="2:16" ht="12.75" hidden="1" customHeight="1" x14ac:dyDescent="0.25">
      <c r="B1" s="2"/>
      <c r="C1" s="2"/>
    </row>
    <row r="2" spans="2:16" ht="11.65" customHeight="1" x14ac:dyDescent="0.25">
      <c r="B2" s="2"/>
      <c r="C2" s="2"/>
    </row>
    <row r="3" spans="2:16" ht="83.1" customHeight="1" thickBot="1" x14ac:dyDescent="0.3">
      <c r="B3" s="2"/>
      <c r="C3" s="2"/>
      <c r="D3" s="1" t="s">
        <v>0</v>
      </c>
    </row>
    <row r="4" spans="2:16" ht="60.2" customHeight="1" x14ac:dyDescent="0.25">
      <c r="B4" s="251" t="s">
        <v>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75.75" customHeight="1" x14ac:dyDescent="0.25">
      <c r="B5" s="252"/>
      <c r="C5" s="252"/>
      <c r="D5" s="3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2:16" ht="30" customHeight="1" x14ac:dyDescent="0.25">
      <c r="B6" s="253" t="s">
        <v>15</v>
      </c>
      <c r="C6" s="253"/>
      <c r="D6" s="2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1.35" customHeight="1" x14ac:dyDescent="0.25">
      <c r="B7" s="250" t="s">
        <v>16</v>
      </c>
      <c r="C7" s="250"/>
      <c r="D7" s="8">
        <v>14044</v>
      </c>
      <c r="E7" s="8">
        <v>6922</v>
      </c>
      <c r="F7" s="8">
        <v>6147</v>
      </c>
      <c r="G7" s="9">
        <v>4200</v>
      </c>
      <c r="H7" s="9">
        <v>3506</v>
      </c>
      <c r="I7" s="9">
        <v>2512</v>
      </c>
      <c r="J7" s="9">
        <v>2296</v>
      </c>
      <c r="K7" s="9">
        <v>1521</v>
      </c>
      <c r="L7" s="9">
        <v>2306</v>
      </c>
      <c r="M7" s="9">
        <v>2764</v>
      </c>
      <c r="N7" s="9">
        <v>3107</v>
      </c>
      <c r="O7" s="8">
        <v>3142</v>
      </c>
      <c r="P7" s="10">
        <f>SUM(D7:O7)</f>
        <v>52467</v>
      </c>
    </row>
    <row r="8" spans="2:16" ht="44.85" customHeight="1" x14ac:dyDescent="0.25">
      <c r="B8" s="254" t="s">
        <v>17</v>
      </c>
      <c r="C8" s="254"/>
      <c r="D8" s="11">
        <v>3663</v>
      </c>
      <c r="E8" s="11">
        <v>2585</v>
      </c>
      <c r="F8" s="11">
        <v>2370</v>
      </c>
      <c r="G8" s="11">
        <v>1669</v>
      </c>
      <c r="H8" s="11">
        <v>1875</v>
      </c>
      <c r="I8" s="11">
        <v>1571</v>
      </c>
      <c r="J8" s="11">
        <v>1512</v>
      </c>
      <c r="K8" s="11">
        <v>933</v>
      </c>
      <c r="L8" s="11">
        <v>1375</v>
      </c>
      <c r="M8" s="11">
        <v>1598</v>
      </c>
      <c r="N8" s="11">
        <v>1966</v>
      </c>
      <c r="O8" s="11">
        <v>1537</v>
      </c>
      <c r="P8" s="12">
        <f>SUM(D8:O8)</f>
        <v>22654</v>
      </c>
    </row>
    <row r="9" spans="2:16" ht="44.85" customHeight="1" x14ac:dyDescent="0.25">
      <c r="B9" s="255" t="s">
        <v>18</v>
      </c>
      <c r="C9" s="255"/>
      <c r="D9" s="8">
        <v>9690</v>
      </c>
      <c r="E9" s="8">
        <v>4641</v>
      </c>
      <c r="F9" s="8">
        <v>3904</v>
      </c>
      <c r="G9" s="8">
        <v>2845</v>
      </c>
      <c r="H9" s="8">
        <v>2575</v>
      </c>
      <c r="I9" s="8">
        <v>1977</v>
      </c>
      <c r="J9" s="8">
        <v>1899</v>
      </c>
      <c r="K9" s="8">
        <v>1167</v>
      </c>
      <c r="L9" s="8">
        <v>1790</v>
      </c>
      <c r="M9" s="8">
        <v>2196</v>
      </c>
      <c r="N9" s="8">
        <v>2409</v>
      </c>
      <c r="O9" s="8">
        <v>2530</v>
      </c>
      <c r="P9" s="12">
        <f>SUM(D9:O9)</f>
        <v>37623</v>
      </c>
    </row>
    <row r="10" spans="2:16" ht="44.85" customHeight="1" x14ac:dyDescent="0.25">
      <c r="B10" s="254" t="s">
        <v>19</v>
      </c>
      <c r="C10" s="254"/>
      <c r="D10" s="11">
        <v>2787</v>
      </c>
      <c r="E10" s="11">
        <v>1975</v>
      </c>
      <c r="F10" s="11">
        <v>1753</v>
      </c>
      <c r="G10" s="11">
        <v>1357</v>
      </c>
      <c r="H10" s="11">
        <v>1486</v>
      </c>
      <c r="I10" s="11">
        <v>1291</v>
      </c>
      <c r="J10" s="11">
        <v>1259</v>
      </c>
      <c r="K10" s="11">
        <v>698</v>
      </c>
      <c r="L10" s="11">
        <v>1057</v>
      </c>
      <c r="M10" s="11">
        <v>1192</v>
      </c>
      <c r="N10" s="11">
        <v>1484</v>
      </c>
      <c r="O10" s="11">
        <v>1151</v>
      </c>
      <c r="P10" s="12">
        <f>SUM(D10:O10)</f>
        <v>17490</v>
      </c>
    </row>
    <row r="11" spans="2:16" ht="31.35" customHeight="1" x14ac:dyDescent="0.25">
      <c r="B11" s="250" t="s">
        <v>20</v>
      </c>
      <c r="C11" s="250"/>
      <c r="D11" s="8">
        <v>40500</v>
      </c>
      <c r="E11" s="8">
        <v>22029</v>
      </c>
      <c r="F11" s="8">
        <v>20235</v>
      </c>
      <c r="G11" s="8">
        <v>14636</v>
      </c>
      <c r="H11" s="8">
        <v>14679</v>
      </c>
      <c r="I11" s="8">
        <v>10265</v>
      </c>
      <c r="J11" s="8">
        <v>9687</v>
      </c>
      <c r="K11" s="8">
        <v>6086</v>
      </c>
      <c r="L11" s="8">
        <v>9616</v>
      </c>
      <c r="M11" s="8">
        <v>14528</v>
      </c>
      <c r="N11" s="8">
        <v>17244</v>
      </c>
      <c r="O11" s="8">
        <v>13044</v>
      </c>
      <c r="P11" s="12">
        <f t="shared" ref="P11:P12" si="0">SUM(D11:O11)</f>
        <v>192549</v>
      </c>
    </row>
    <row r="12" spans="2:16" ht="31.35" customHeight="1" x14ac:dyDescent="0.25">
      <c r="B12" s="256" t="s">
        <v>21</v>
      </c>
      <c r="C12" s="256"/>
      <c r="D12" s="11">
        <v>5811</v>
      </c>
      <c r="E12" s="11">
        <v>4360</v>
      </c>
      <c r="F12" s="11">
        <v>4227</v>
      </c>
      <c r="G12" s="11">
        <v>2800</v>
      </c>
      <c r="H12" s="11">
        <v>4222</v>
      </c>
      <c r="I12" s="11">
        <v>3343</v>
      </c>
      <c r="J12" s="11">
        <v>3196</v>
      </c>
      <c r="K12" s="11">
        <v>2176</v>
      </c>
      <c r="L12" s="11">
        <v>3412</v>
      </c>
      <c r="M12" s="11">
        <v>3634</v>
      </c>
      <c r="N12" s="11">
        <v>4097</v>
      </c>
      <c r="O12" s="11">
        <v>3179</v>
      </c>
      <c r="P12" s="12">
        <f t="shared" si="0"/>
        <v>44457</v>
      </c>
    </row>
    <row r="13" spans="2:16" ht="31.35" customHeight="1" x14ac:dyDescent="0.25">
      <c r="B13" s="250" t="s">
        <v>22</v>
      </c>
      <c r="C13" s="250"/>
      <c r="D13" s="13">
        <v>2.88</v>
      </c>
      <c r="E13" s="13">
        <v>3.18</v>
      </c>
      <c r="F13" s="14">
        <v>3.29</v>
      </c>
      <c r="G13" s="14">
        <v>3.48</v>
      </c>
      <c r="H13" s="14">
        <v>4.1900000000000004</v>
      </c>
      <c r="I13" s="14">
        <v>4.09</v>
      </c>
      <c r="J13" s="14">
        <v>4.22</v>
      </c>
      <c r="K13" s="14">
        <v>4</v>
      </c>
      <c r="L13" s="14">
        <v>4.17</v>
      </c>
      <c r="M13" s="14">
        <v>5.26</v>
      </c>
      <c r="N13" s="14">
        <v>5.55</v>
      </c>
      <c r="O13" s="14">
        <v>4.1500000000000004</v>
      </c>
      <c r="P13" s="15">
        <f t="shared" ref="P13:P18" si="1">AVERAGE(D13:O13)</f>
        <v>4.0383333333333331</v>
      </c>
    </row>
    <row r="14" spans="2:16" ht="44.85" customHeight="1" x14ac:dyDescent="0.25">
      <c r="B14" s="257" t="s">
        <v>23</v>
      </c>
      <c r="C14" s="257"/>
      <c r="D14" s="16">
        <v>1.59</v>
      </c>
      <c r="E14" s="16">
        <v>1.69</v>
      </c>
      <c r="F14" s="17">
        <v>1.78</v>
      </c>
      <c r="G14" s="17">
        <v>1.68</v>
      </c>
      <c r="H14" s="17">
        <v>2.25</v>
      </c>
      <c r="I14" s="17">
        <v>2.13</v>
      </c>
      <c r="J14" s="17">
        <v>2.11</v>
      </c>
      <c r="K14" s="17">
        <v>2.33</v>
      </c>
      <c r="L14" s="17">
        <v>2.48</v>
      </c>
      <c r="M14" s="17">
        <v>2.27</v>
      </c>
      <c r="N14" s="17">
        <v>2.76</v>
      </c>
      <c r="O14" s="17">
        <v>2.0699999999999998</v>
      </c>
      <c r="P14" s="15">
        <f t="shared" si="1"/>
        <v>2.0950000000000002</v>
      </c>
    </row>
    <row r="15" spans="2:16" ht="44.85" customHeight="1" x14ac:dyDescent="0.25">
      <c r="B15" s="250" t="s">
        <v>24</v>
      </c>
      <c r="C15" s="250"/>
      <c r="D15" s="18">
        <v>1.0879629629629601E-3</v>
      </c>
      <c r="E15" s="18">
        <v>1.1805555555555599E-3</v>
      </c>
      <c r="F15" s="18">
        <v>1.30787037037037E-3</v>
      </c>
      <c r="G15" s="18">
        <v>1.2962962962962999E-3</v>
      </c>
      <c r="H15" s="18">
        <v>1.68981481481482E-3</v>
      </c>
      <c r="I15" s="18">
        <v>1.0995370370370399E-3</v>
      </c>
      <c r="J15" s="18">
        <v>1.68981481481482E-3</v>
      </c>
      <c r="K15" s="18">
        <v>1.88657407407407E-3</v>
      </c>
      <c r="L15" s="18">
        <v>1.93287037037037E-3</v>
      </c>
      <c r="M15" s="18">
        <v>2.1990740740740699E-3</v>
      </c>
      <c r="N15" s="18">
        <v>2.4305555555555556E-3</v>
      </c>
      <c r="O15" s="18">
        <v>1.8865740740740742E-3</v>
      </c>
      <c r="P15" s="19">
        <f t="shared" si="1"/>
        <v>1.6406250000000008E-3</v>
      </c>
    </row>
    <row r="16" spans="2:16" ht="44.85" customHeight="1" x14ac:dyDescent="0.25">
      <c r="B16" s="256" t="s">
        <v>25</v>
      </c>
      <c r="C16" s="256"/>
      <c r="D16" s="20">
        <v>7.6388888888888904E-4</v>
      </c>
      <c r="E16" s="20">
        <v>7.9861111111111105E-4</v>
      </c>
      <c r="F16" s="20">
        <v>1.1458333333333301E-3</v>
      </c>
      <c r="G16" s="20">
        <v>7.5231481481481503E-4</v>
      </c>
      <c r="H16" s="20">
        <v>1.38888888888889E-3</v>
      </c>
      <c r="I16" s="20">
        <v>1.25E-3</v>
      </c>
      <c r="J16" s="20">
        <v>1.3194444444444399E-3</v>
      </c>
      <c r="K16" s="20">
        <v>1.80555555555556E-3</v>
      </c>
      <c r="L16" s="20">
        <v>1.7361111111111099E-3</v>
      </c>
      <c r="M16" s="20">
        <v>2.1527777777777799E-3</v>
      </c>
      <c r="N16" s="20">
        <v>4.2824074074074075E-4</v>
      </c>
      <c r="O16" s="20">
        <v>2.8356481481481479E-3</v>
      </c>
      <c r="P16" s="19">
        <f>AVERAGE(D16:O16)</f>
        <v>1.3647762345679012E-3</v>
      </c>
    </row>
    <row r="17" spans="2:16" ht="44.85" customHeight="1" x14ac:dyDescent="0.25">
      <c r="B17" s="250" t="s">
        <v>26</v>
      </c>
      <c r="C17" s="250"/>
      <c r="D17" s="21">
        <v>0.56579999999999997</v>
      </c>
      <c r="E17" s="21">
        <v>0.5373</v>
      </c>
      <c r="F17" s="22">
        <v>0.53249999999999997</v>
      </c>
      <c r="G17" s="22">
        <v>0.51</v>
      </c>
      <c r="H17" s="22">
        <v>0.46860000000000002</v>
      </c>
      <c r="I17" s="22">
        <v>0.45300000000000001</v>
      </c>
      <c r="J17" s="22">
        <v>0.4743</v>
      </c>
      <c r="K17" s="22">
        <v>0.44640000000000002</v>
      </c>
      <c r="L17" s="22">
        <v>0.43059999999999998</v>
      </c>
      <c r="M17" s="22">
        <v>0.42980000000000002</v>
      </c>
      <c r="N17" s="22">
        <v>0.38429999999999997</v>
      </c>
      <c r="O17" s="22">
        <v>0.49080000000000001</v>
      </c>
      <c r="P17" s="23">
        <f t="shared" si="1"/>
        <v>0.47694999999999999</v>
      </c>
    </row>
    <row r="18" spans="2:16" ht="44.85" customHeight="1" x14ac:dyDescent="0.25">
      <c r="B18" s="257" t="s">
        <v>27</v>
      </c>
      <c r="C18" s="257"/>
      <c r="D18" s="24">
        <v>0.7581</v>
      </c>
      <c r="E18" s="24">
        <v>0.72770000000000001</v>
      </c>
      <c r="F18" s="25">
        <v>0.69279999999999997</v>
      </c>
      <c r="G18" s="25">
        <v>0.70699999999999996</v>
      </c>
      <c r="H18" s="25">
        <v>0.66190000000000004</v>
      </c>
      <c r="I18" s="25">
        <v>0.66839999999999999</v>
      </c>
      <c r="J18" s="25">
        <v>0.64019999999999999</v>
      </c>
      <c r="K18" s="25">
        <v>0.64629999999999999</v>
      </c>
      <c r="L18" s="25">
        <v>0.61529999999999996</v>
      </c>
      <c r="M18" s="25">
        <v>0.63019999999999998</v>
      </c>
      <c r="N18" s="25">
        <v>0.63580000000000003</v>
      </c>
      <c r="O18" s="25">
        <v>0.64639999999999997</v>
      </c>
      <c r="P18" s="23">
        <f t="shared" si="1"/>
        <v>0.66917499999999996</v>
      </c>
    </row>
    <row r="19" spans="2:16" ht="44.85" customHeight="1" x14ac:dyDescent="0.25">
      <c r="B19" s="255" t="s">
        <v>28</v>
      </c>
      <c r="C19" s="255"/>
      <c r="D19" s="8">
        <v>8188</v>
      </c>
      <c r="E19" s="8">
        <v>3671</v>
      </c>
      <c r="F19" s="8">
        <v>3127</v>
      </c>
      <c r="G19" s="8">
        <v>2300</v>
      </c>
      <c r="H19" s="8">
        <v>2213</v>
      </c>
      <c r="I19" s="8">
        <v>1763</v>
      </c>
      <c r="J19" s="8">
        <v>1674</v>
      </c>
      <c r="K19" s="8">
        <v>1035</v>
      </c>
      <c r="L19" s="8">
        <v>1641</v>
      </c>
      <c r="M19" s="8">
        <v>2006</v>
      </c>
      <c r="N19" s="8">
        <v>2210</v>
      </c>
      <c r="O19" s="8">
        <v>2321</v>
      </c>
      <c r="P19" s="12">
        <f>SUM(D19:O19)</f>
        <v>32149</v>
      </c>
    </row>
    <row r="20" spans="2:16" ht="44.85" customHeight="1" x14ac:dyDescent="0.25">
      <c r="B20" s="259" t="s">
        <v>29</v>
      </c>
      <c r="C20" s="259"/>
      <c r="D20" s="11">
        <v>2539</v>
      </c>
      <c r="E20" s="11">
        <v>1755</v>
      </c>
      <c r="F20" s="11">
        <v>1558</v>
      </c>
      <c r="G20" s="11">
        <v>1178</v>
      </c>
      <c r="H20" s="11">
        <v>1305</v>
      </c>
      <c r="I20" s="11">
        <v>1156</v>
      </c>
      <c r="J20" s="11">
        <v>1114</v>
      </c>
      <c r="K20" s="11">
        <v>629</v>
      </c>
      <c r="L20" s="11">
        <v>946</v>
      </c>
      <c r="M20" s="11">
        <v>1096</v>
      </c>
      <c r="N20" s="11">
        <v>1397</v>
      </c>
      <c r="O20" s="11">
        <v>1033</v>
      </c>
      <c r="P20" s="12">
        <f>SUM(D20:O20)</f>
        <v>15706</v>
      </c>
    </row>
    <row r="21" spans="2:16" ht="44.85" customHeight="1" x14ac:dyDescent="0.25">
      <c r="B21" s="260" t="s">
        <v>30</v>
      </c>
      <c r="C21" s="260"/>
      <c r="D21" s="26">
        <v>43110</v>
      </c>
      <c r="E21" s="26">
        <v>43131</v>
      </c>
      <c r="F21" s="26">
        <v>43159</v>
      </c>
      <c r="G21" s="26">
        <v>43194</v>
      </c>
      <c r="H21" s="26">
        <v>43221</v>
      </c>
      <c r="I21" s="26">
        <v>43257</v>
      </c>
      <c r="J21" s="26">
        <v>43286</v>
      </c>
      <c r="K21" s="26">
        <v>43334</v>
      </c>
      <c r="L21" s="26">
        <v>43364</v>
      </c>
      <c r="M21" s="26">
        <v>43390</v>
      </c>
      <c r="N21" s="26">
        <v>43406</v>
      </c>
      <c r="O21" s="26">
        <v>43462</v>
      </c>
      <c r="P21" s="27">
        <v>42746</v>
      </c>
    </row>
    <row r="22" spans="2:16" ht="69" customHeight="1" x14ac:dyDescent="0.25">
      <c r="B22" s="261" t="s">
        <v>31</v>
      </c>
      <c r="C22" s="261"/>
      <c r="D22" s="8">
        <v>888</v>
      </c>
      <c r="E22" s="8">
        <v>457</v>
      </c>
      <c r="F22" s="8">
        <v>317</v>
      </c>
      <c r="G22" s="8">
        <v>257</v>
      </c>
      <c r="H22" s="8">
        <v>215</v>
      </c>
      <c r="I22" s="28">
        <v>131</v>
      </c>
      <c r="J22" s="29">
        <v>163</v>
      </c>
      <c r="K22" s="28">
        <v>83</v>
      </c>
      <c r="L22" s="28">
        <v>131</v>
      </c>
      <c r="M22" s="28">
        <v>163</v>
      </c>
      <c r="N22" s="28">
        <v>174</v>
      </c>
      <c r="O22" s="28">
        <v>166</v>
      </c>
      <c r="P22" s="30">
        <v>888</v>
      </c>
    </row>
    <row r="23" spans="2:16" ht="44.85" customHeight="1" x14ac:dyDescent="0.25">
      <c r="B23" s="262" t="s">
        <v>32</v>
      </c>
      <c r="C23" s="262"/>
      <c r="D23" s="31">
        <v>43103</v>
      </c>
      <c r="E23" s="31">
        <v>43138</v>
      </c>
      <c r="F23" s="31">
        <v>43186</v>
      </c>
      <c r="G23" s="31">
        <v>43217</v>
      </c>
      <c r="H23" s="31">
        <v>43221</v>
      </c>
      <c r="I23" s="31">
        <v>43271</v>
      </c>
      <c r="J23" s="31">
        <v>43292</v>
      </c>
      <c r="K23" s="32">
        <v>43341</v>
      </c>
      <c r="L23" s="31">
        <v>43364</v>
      </c>
      <c r="M23" s="31">
        <v>43390</v>
      </c>
      <c r="N23" s="31">
        <v>43406</v>
      </c>
      <c r="O23" s="31">
        <v>43452</v>
      </c>
      <c r="P23" s="27">
        <v>42765</v>
      </c>
    </row>
    <row r="24" spans="2:16" ht="73.349999999999994" customHeight="1" x14ac:dyDescent="0.25">
      <c r="B24" s="263" t="s">
        <v>33</v>
      </c>
      <c r="C24" s="263"/>
      <c r="D24" s="33">
        <v>268</v>
      </c>
      <c r="E24" s="33">
        <v>193</v>
      </c>
      <c r="F24" s="33">
        <v>139</v>
      </c>
      <c r="G24" s="33">
        <v>111</v>
      </c>
      <c r="H24" s="33">
        <v>125</v>
      </c>
      <c r="I24" s="11">
        <v>105</v>
      </c>
      <c r="J24" s="33">
        <v>87</v>
      </c>
      <c r="K24" s="33">
        <v>65</v>
      </c>
      <c r="L24" s="33">
        <v>78</v>
      </c>
      <c r="M24" s="33">
        <v>101</v>
      </c>
      <c r="N24" s="33">
        <v>104</v>
      </c>
      <c r="O24" s="33">
        <v>88</v>
      </c>
      <c r="P24" s="34">
        <v>268</v>
      </c>
    </row>
    <row r="25" spans="2:16" ht="57.6" customHeight="1" x14ac:dyDescent="0.25">
      <c r="B25" s="264" t="s">
        <v>34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2:16" ht="73.349999999999994" customHeight="1" x14ac:dyDescent="0.25">
      <c r="B26" s="265" t="s">
        <v>35</v>
      </c>
      <c r="C26" s="35" t="s">
        <v>36</v>
      </c>
      <c r="D26" s="36" t="s">
        <v>37</v>
      </c>
      <c r="E26" s="36" t="s">
        <v>37</v>
      </c>
      <c r="F26" s="36" t="s">
        <v>37</v>
      </c>
      <c r="G26" s="36" t="s">
        <v>37</v>
      </c>
      <c r="H26" s="37" t="s">
        <v>37</v>
      </c>
      <c r="I26" s="37" t="s">
        <v>37</v>
      </c>
      <c r="J26" s="37" t="s">
        <v>37</v>
      </c>
      <c r="K26" s="37" t="s">
        <v>37</v>
      </c>
      <c r="L26" s="37" t="s">
        <v>37</v>
      </c>
      <c r="M26" s="37" t="s">
        <v>37</v>
      </c>
      <c r="N26" s="37" t="s">
        <v>46</v>
      </c>
      <c r="O26" s="37" t="s">
        <v>46</v>
      </c>
      <c r="P26" s="38" t="str">
        <f>M26</f>
        <v>Catàleg de dades</v>
      </c>
    </row>
    <row r="27" spans="2:16" ht="73.349999999999994" customHeight="1" thickTop="1" thickBot="1" x14ac:dyDescent="0.3">
      <c r="B27" s="265"/>
      <c r="C27" s="39" t="s">
        <v>39</v>
      </c>
      <c r="D27" s="33">
        <v>19836</v>
      </c>
      <c r="E27" s="40">
        <v>10279</v>
      </c>
      <c r="F27" s="40">
        <v>9626</v>
      </c>
      <c r="G27" s="40">
        <v>6384</v>
      </c>
      <c r="H27" s="40">
        <v>6962</v>
      </c>
      <c r="I27" s="40">
        <v>4312</v>
      </c>
      <c r="J27" s="40">
        <v>4560</v>
      </c>
      <c r="K27" s="40">
        <v>2778</v>
      </c>
      <c r="L27" s="40">
        <v>4351</v>
      </c>
      <c r="M27" s="40">
        <v>6450</v>
      </c>
      <c r="N27" s="40">
        <v>496</v>
      </c>
      <c r="O27" s="40">
        <v>340</v>
      </c>
      <c r="P27" s="41">
        <f>SUM(D27:M27)</f>
        <v>75538</v>
      </c>
    </row>
    <row r="28" spans="2:16" ht="73.349999999999994" customHeight="1" thickTop="1" thickBot="1" x14ac:dyDescent="0.3">
      <c r="B28" s="258" t="s">
        <v>40</v>
      </c>
      <c r="C28" s="35" t="s">
        <v>36</v>
      </c>
      <c r="D28" s="37" t="s">
        <v>38</v>
      </c>
      <c r="E28" s="37" t="s">
        <v>38</v>
      </c>
      <c r="F28" s="37" t="s">
        <v>38</v>
      </c>
      <c r="G28" s="37" t="s">
        <v>38</v>
      </c>
      <c r="H28" s="37" t="s">
        <v>41</v>
      </c>
      <c r="I28" s="37" t="s">
        <v>41</v>
      </c>
      <c r="J28" s="37" t="s">
        <v>41</v>
      </c>
      <c r="K28" s="37" t="s">
        <v>41</v>
      </c>
      <c r="L28" s="37" t="s">
        <v>41</v>
      </c>
      <c r="M28" s="37" t="s">
        <v>41</v>
      </c>
      <c r="N28" s="37" t="s">
        <v>41</v>
      </c>
      <c r="O28" s="37" t="s">
        <v>41</v>
      </c>
      <c r="P28" s="38" t="s">
        <v>38</v>
      </c>
    </row>
    <row r="29" spans="2:16" ht="73.349999999999994" customHeight="1" thickTop="1" thickBot="1" x14ac:dyDescent="0.3">
      <c r="B29" s="258"/>
      <c r="C29" s="42" t="s">
        <v>42</v>
      </c>
      <c r="D29" s="33">
        <v>14498</v>
      </c>
      <c r="E29" s="40">
        <v>7181</v>
      </c>
      <c r="F29" s="40">
        <v>5480</v>
      </c>
      <c r="G29" s="40">
        <v>3501</v>
      </c>
      <c r="H29" s="40">
        <v>1799</v>
      </c>
      <c r="I29" s="40">
        <v>1519</v>
      </c>
      <c r="J29" s="40">
        <v>1472</v>
      </c>
      <c r="K29" s="40">
        <v>943</v>
      </c>
      <c r="L29" s="40">
        <v>1353</v>
      </c>
      <c r="M29" s="40">
        <v>1676</v>
      </c>
      <c r="N29" s="40">
        <v>209</v>
      </c>
      <c r="O29" s="40">
        <v>215</v>
      </c>
      <c r="P29" s="41">
        <f>G29+F29+E29+D29+H31+I31+J31+K31+L31+M31</f>
        <v>35885</v>
      </c>
    </row>
    <row r="30" spans="2:16" ht="73.349999999999994" customHeight="1" x14ac:dyDescent="0.25">
      <c r="B30" s="267" t="s">
        <v>43</v>
      </c>
      <c r="C30" s="39" t="s">
        <v>36</v>
      </c>
      <c r="D30" s="37" t="s">
        <v>44</v>
      </c>
      <c r="E30" s="37" t="s">
        <v>41</v>
      </c>
      <c r="F30" s="37" t="s">
        <v>41</v>
      </c>
      <c r="G30" s="37" t="s">
        <v>44</v>
      </c>
      <c r="H30" s="37" t="s">
        <v>38</v>
      </c>
      <c r="I30" s="37" t="s">
        <v>38</v>
      </c>
      <c r="J30" s="37" t="s">
        <v>38</v>
      </c>
      <c r="K30" s="37" t="s">
        <v>38</v>
      </c>
      <c r="L30" s="37" t="s">
        <v>38</v>
      </c>
      <c r="M30" s="37" t="s">
        <v>38</v>
      </c>
      <c r="N30" s="37" t="s">
        <v>552</v>
      </c>
      <c r="O30" s="37" t="s">
        <v>553</v>
      </c>
      <c r="P30" s="44" t="s">
        <v>41</v>
      </c>
    </row>
    <row r="31" spans="2:16" ht="73.349999999999994" customHeight="1" thickBot="1" x14ac:dyDescent="0.3">
      <c r="B31" s="267"/>
      <c r="C31" s="43" t="s">
        <v>42</v>
      </c>
      <c r="D31" s="33">
        <v>2631</v>
      </c>
      <c r="E31" s="40">
        <v>1426</v>
      </c>
      <c r="F31" s="40">
        <v>1643</v>
      </c>
      <c r="G31" s="40">
        <v>1354</v>
      </c>
      <c r="H31" s="40">
        <v>1414</v>
      </c>
      <c r="I31" s="40">
        <v>862</v>
      </c>
      <c r="J31" s="40">
        <v>819</v>
      </c>
      <c r="K31" s="40">
        <v>596</v>
      </c>
      <c r="L31" s="40">
        <v>815</v>
      </c>
      <c r="M31" s="40">
        <v>719</v>
      </c>
      <c r="N31" s="40">
        <v>196</v>
      </c>
      <c r="O31" s="40">
        <v>173</v>
      </c>
      <c r="P31" s="41">
        <f>H29+I29+J29+K29+L29+M29+G33+D33</f>
        <v>11415</v>
      </c>
    </row>
    <row r="32" spans="2:16" ht="95.65" customHeight="1" thickTop="1" thickBot="1" x14ac:dyDescent="0.3">
      <c r="B32" s="258" t="s">
        <v>45</v>
      </c>
      <c r="C32" s="35" t="s">
        <v>36</v>
      </c>
      <c r="D32" s="37" t="s">
        <v>41</v>
      </c>
      <c r="E32" s="37" t="s">
        <v>44</v>
      </c>
      <c r="F32" s="37" t="s">
        <v>44</v>
      </c>
      <c r="G32" s="37" t="s">
        <v>41</v>
      </c>
      <c r="H32" s="37" t="s">
        <v>46</v>
      </c>
      <c r="I32" s="37" t="s">
        <v>44</v>
      </c>
      <c r="J32" s="37" t="s">
        <v>47</v>
      </c>
      <c r="K32" s="37" t="s">
        <v>47</v>
      </c>
      <c r="L32" s="37" t="s">
        <v>46</v>
      </c>
      <c r="M32" s="37" t="s">
        <v>46</v>
      </c>
      <c r="N32" s="37" t="s">
        <v>553</v>
      </c>
      <c r="O32" s="37" t="s">
        <v>558</v>
      </c>
      <c r="P32" s="38" t="s">
        <v>44</v>
      </c>
    </row>
    <row r="33" spans="2:20" ht="96.4" customHeight="1" thickTop="1" thickBot="1" x14ac:dyDescent="0.3">
      <c r="B33" s="258"/>
      <c r="C33" s="42" t="s">
        <v>42</v>
      </c>
      <c r="D33" s="33">
        <v>1450</v>
      </c>
      <c r="E33" s="40">
        <v>1353</v>
      </c>
      <c r="F33" s="40">
        <v>988</v>
      </c>
      <c r="G33" s="40">
        <v>1203</v>
      </c>
      <c r="H33" s="40">
        <v>516</v>
      </c>
      <c r="I33" s="40">
        <v>351</v>
      </c>
      <c r="J33" s="40">
        <v>348</v>
      </c>
      <c r="K33" s="40">
        <v>218</v>
      </c>
      <c r="L33" s="40">
        <v>359</v>
      </c>
      <c r="M33" s="40">
        <v>444</v>
      </c>
      <c r="N33" s="40">
        <v>192</v>
      </c>
      <c r="O33" s="40">
        <v>117</v>
      </c>
      <c r="P33" s="41">
        <f>I33+F33+E33+D31+G31+K35+J35+H35</f>
        <v>7512</v>
      </c>
      <c r="T33" s="41"/>
    </row>
    <row r="34" spans="2:20" ht="97.5" customHeight="1" thickTop="1" x14ac:dyDescent="0.25">
      <c r="B34" s="267" t="s">
        <v>48</v>
      </c>
      <c r="C34" s="39" t="s">
        <v>36</v>
      </c>
      <c r="D34" s="37" t="s">
        <v>49</v>
      </c>
      <c r="E34" s="37" t="s">
        <v>49</v>
      </c>
      <c r="F34" s="37" t="s">
        <v>46</v>
      </c>
      <c r="G34" s="37" t="s">
        <v>46</v>
      </c>
      <c r="H34" s="37" t="s">
        <v>44</v>
      </c>
      <c r="I34" s="37" t="s">
        <v>46</v>
      </c>
      <c r="J34" s="37" t="s">
        <v>44</v>
      </c>
      <c r="K34" s="37" t="s">
        <v>44</v>
      </c>
      <c r="L34" s="37" t="s">
        <v>49</v>
      </c>
      <c r="M34" s="37" t="s">
        <v>50</v>
      </c>
      <c r="N34" s="37" t="s">
        <v>554</v>
      </c>
      <c r="O34" s="37" t="s">
        <v>554</v>
      </c>
      <c r="P34" s="38" t="s">
        <v>46</v>
      </c>
    </row>
    <row r="35" spans="2:20" ht="73.349999999999994" customHeight="1" thickBot="1" x14ac:dyDescent="0.3">
      <c r="B35" s="267"/>
      <c r="C35" s="43" t="s">
        <v>42</v>
      </c>
      <c r="D35" s="33">
        <v>394</v>
      </c>
      <c r="E35" s="40">
        <v>423</v>
      </c>
      <c r="F35" s="40">
        <v>398</v>
      </c>
      <c r="G35" s="40">
        <v>237</v>
      </c>
      <c r="H35" s="40">
        <v>357</v>
      </c>
      <c r="I35" s="40">
        <v>240</v>
      </c>
      <c r="J35" s="40">
        <v>333</v>
      </c>
      <c r="K35" s="40">
        <v>145</v>
      </c>
      <c r="L35" s="40">
        <v>200</v>
      </c>
      <c r="M35" s="40">
        <v>222</v>
      </c>
      <c r="N35" s="40">
        <v>102</v>
      </c>
      <c r="O35" s="40">
        <v>104</v>
      </c>
      <c r="P35" s="41">
        <f>M33+L33+K33+J33+G35+F35+N27+O27</f>
        <v>2840</v>
      </c>
      <c r="Q35" s="175"/>
    </row>
    <row r="36" spans="2:20" ht="49.35" customHeight="1" thickTop="1" thickBot="1" x14ac:dyDescent="0.3">
      <c r="B36" s="253" t="s">
        <v>51</v>
      </c>
      <c r="C36" s="253"/>
      <c r="D36" s="25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20" ht="44.85" customHeight="1" thickTop="1" x14ac:dyDescent="0.25">
      <c r="B37" s="265" t="s">
        <v>35</v>
      </c>
      <c r="C37" s="265"/>
      <c r="D37" s="45" t="s">
        <v>52</v>
      </c>
      <c r="E37" s="45" t="s">
        <v>52</v>
      </c>
      <c r="F37" s="45" t="s">
        <v>52</v>
      </c>
      <c r="G37" s="45" t="s">
        <v>52</v>
      </c>
      <c r="H37" s="11" t="s">
        <v>53</v>
      </c>
      <c r="I37" s="11" t="s">
        <v>53</v>
      </c>
      <c r="J37" s="11" t="s">
        <v>52</v>
      </c>
      <c r="K37" s="11" t="s">
        <v>52</v>
      </c>
      <c r="L37" s="11" t="s">
        <v>53</v>
      </c>
      <c r="M37" s="46" t="s">
        <v>53</v>
      </c>
      <c r="N37" s="46" t="s">
        <v>53</v>
      </c>
      <c r="O37" s="46" t="s">
        <v>53</v>
      </c>
      <c r="P37" s="49" t="s">
        <v>53</v>
      </c>
    </row>
    <row r="38" spans="2:20" ht="44.85" customHeight="1" x14ac:dyDescent="0.25">
      <c r="B38" s="267" t="s">
        <v>40</v>
      </c>
      <c r="C38" s="267"/>
      <c r="D38" s="11" t="s">
        <v>53</v>
      </c>
      <c r="E38" s="11" t="s">
        <v>53</v>
      </c>
      <c r="F38" s="11" t="s">
        <v>53</v>
      </c>
      <c r="G38" s="11" t="s">
        <v>53</v>
      </c>
      <c r="H38" s="11" t="s">
        <v>52</v>
      </c>
      <c r="I38" s="11" t="s">
        <v>52</v>
      </c>
      <c r="J38" s="11" t="s">
        <v>53</v>
      </c>
      <c r="K38" s="11" t="s">
        <v>53</v>
      </c>
      <c r="L38" s="11" t="s">
        <v>52</v>
      </c>
      <c r="M38" s="46" t="s">
        <v>52</v>
      </c>
      <c r="N38" s="46" t="s">
        <v>55</v>
      </c>
      <c r="O38" s="46" t="s">
        <v>52</v>
      </c>
      <c r="P38" s="49" t="s">
        <v>52</v>
      </c>
      <c r="R38" s="120"/>
    </row>
    <row r="39" spans="2:20" ht="44.85" customHeight="1" x14ac:dyDescent="0.25">
      <c r="B39" s="267" t="s">
        <v>43</v>
      </c>
      <c r="C39" s="267"/>
      <c r="D39" s="11" t="s">
        <v>54</v>
      </c>
      <c r="E39" s="11" t="s">
        <v>54</v>
      </c>
      <c r="F39" s="11" t="s">
        <v>54</v>
      </c>
      <c r="G39" s="11" t="s">
        <v>55</v>
      </c>
      <c r="H39" s="11" t="s">
        <v>56</v>
      </c>
      <c r="I39" s="11" t="s">
        <v>56</v>
      </c>
      <c r="J39" s="11" t="s">
        <v>56</v>
      </c>
      <c r="K39" s="11" t="s">
        <v>56</v>
      </c>
      <c r="L39" s="11" t="s">
        <v>56</v>
      </c>
      <c r="M39" s="46" t="s">
        <v>56</v>
      </c>
      <c r="N39" s="46" t="s">
        <v>54</v>
      </c>
      <c r="O39" s="47" t="s">
        <v>55</v>
      </c>
      <c r="P39" s="49" t="s">
        <v>54</v>
      </c>
      <c r="R39" s="120"/>
    </row>
    <row r="40" spans="2:20" ht="44.85" customHeight="1" x14ac:dyDescent="0.25">
      <c r="B40" s="267" t="s">
        <v>45</v>
      </c>
      <c r="C40" s="267"/>
      <c r="D40" s="11" t="s">
        <v>56</v>
      </c>
      <c r="E40" s="11" t="s">
        <v>56</v>
      </c>
      <c r="F40" s="11" t="s">
        <v>56</v>
      </c>
      <c r="G40" s="11" t="s">
        <v>56</v>
      </c>
      <c r="H40" s="11" t="s">
        <v>55</v>
      </c>
      <c r="I40" s="11" t="s">
        <v>54</v>
      </c>
      <c r="J40" s="11" t="s">
        <v>54</v>
      </c>
      <c r="K40" s="11" t="s">
        <v>54</v>
      </c>
      <c r="L40" s="11" t="s">
        <v>54</v>
      </c>
      <c r="M40" s="50" t="s">
        <v>54</v>
      </c>
      <c r="N40" s="50" t="s">
        <v>549</v>
      </c>
      <c r="O40" s="11" t="s">
        <v>54</v>
      </c>
      <c r="P40" s="49" t="s">
        <v>56</v>
      </c>
    </row>
    <row r="41" spans="2:20" ht="44.85" customHeight="1" x14ac:dyDescent="0.25">
      <c r="B41" s="268" t="s">
        <v>48</v>
      </c>
      <c r="C41" s="268"/>
      <c r="D41" s="40" t="s">
        <v>55</v>
      </c>
      <c r="E41" s="40" t="s">
        <v>55</v>
      </c>
      <c r="F41" s="40" t="s">
        <v>55</v>
      </c>
      <c r="G41" s="40" t="s">
        <v>54</v>
      </c>
      <c r="H41" s="40" t="s">
        <v>54</v>
      </c>
      <c r="I41" s="11" t="s">
        <v>55</v>
      </c>
      <c r="J41" s="11" t="s">
        <v>55</v>
      </c>
      <c r="K41" s="11" t="s">
        <v>55</v>
      </c>
      <c r="L41" s="11" t="s">
        <v>55</v>
      </c>
      <c r="M41" s="40" t="s">
        <v>55</v>
      </c>
      <c r="N41" s="40" t="s">
        <v>550</v>
      </c>
      <c r="O41" s="40" t="s">
        <v>56</v>
      </c>
      <c r="P41" s="51" t="s">
        <v>57</v>
      </c>
    </row>
    <row r="42" spans="2:20" ht="44.85" customHeight="1" x14ac:dyDescent="0.25">
      <c r="B42" s="253" t="s">
        <v>58</v>
      </c>
      <c r="C42" s="253"/>
      <c r="D42" s="25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2:20" ht="39" customHeight="1" x14ac:dyDescent="0.25">
      <c r="B43" s="269" t="s">
        <v>59</v>
      </c>
      <c r="C43" s="52" t="s">
        <v>60</v>
      </c>
      <c r="D43" s="53">
        <v>2563</v>
      </c>
      <c r="E43" s="53">
        <v>1454</v>
      </c>
      <c r="F43" s="54">
        <v>1253</v>
      </c>
      <c r="G43" s="54">
        <v>925</v>
      </c>
      <c r="H43" s="54">
        <v>1004</v>
      </c>
      <c r="I43" s="55">
        <v>877</v>
      </c>
      <c r="J43" s="55">
        <v>907</v>
      </c>
      <c r="K43" s="55">
        <v>474</v>
      </c>
      <c r="L43" s="55">
        <v>815</v>
      </c>
      <c r="M43" s="55">
        <v>872</v>
      </c>
      <c r="N43" s="54">
        <v>1077</v>
      </c>
      <c r="O43" s="45">
        <v>859</v>
      </c>
      <c r="P43" s="56">
        <f>SUM(D43:O43)</f>
        <v>13080</v>
      </c>
    </row>
    <row r="44" spans="2:20" ht="44.85" customHeight="1" x14ac:dyDescent="0.25">
      <c r="B44" s="269"/>
      <c r="C44" s="57" t="s">
        <v>61</v>
      </c>
      <c r="D44" s="58" t="s">
        <v>62</v>
      </c>
      <c r="E44" s="58" t="s">
        <v>63</v>
      </c>
      <c r="F44" s="58" t="s">
        <v>64</v>
      </c>
      <c r="G44" s="58" t="s">
        <v>65</v>
      </c>
      <c r="H44" s="58" t="s">
        <v>66</v>
      </c>
      <c r="I44" s="59" t="s">
        <v>67</v>
      </c>
      <c r="J44" s="59" t="s">
        <v>68</v>
      </c>
      <c r="K44" s="59" t="s">
        <v>69</v>
      </c>
      <c r="L44" s="59" t="s">
        <v>70</v>
      </c>
      <c r="M44" s="59" t="s">
        <v>71</v>
      </c>
      <c r="N44" s="177">
        <f>N43/(N43+N45+N47+N49)</f>
        <v>0.72136637642330881</v>
      </c>
      <c r="O44" s="177">
        <f>O43/(O43+O45+O47+O49)</f>
        <v>0.73231031543052005</v>
      </c>
      <c r="P44" s="60">
        <f>P43/(P$43+P$45+P$47+P$49)</f>
        <v>0.37338357454825727</v>
      </c>
    </row>
    <row r="45" spans="2:20" ht="31.35" customHeight="1" thickTop="1" thickBot="1" x14ac:dyDescent="0.3">
      <c r="B45" s="266" t="s">
        <v>72</v>
      </c>
      <c r="C45" s="52" t="s">
        <v>60</v>
      </c>
      <c r="D45" s="54">
        <v>1774</v>
      </c>
      <c r="E45" s="54">
        <v>1237</v>
      </c>
      <c r="F45" s="54">
        <v>1363</v>
      </c>
      <c r="G45" s="54">
        <v>1238</v>
      </c>
      <c r="H45" s="54">
        <v>1333</v>
      </c>
      <c r="I45" s="55">
        <v>408</v>
      </c>
      <c r="J45" s="55">
        <v>847</v>
      </c>
      <c r="K45" s="55">
        <v>652</v>
      </c>
      <c r="L45" s="55">
        <v>911</v>
      </c>
      <c r="M45" s="55">
        <v>1250</v>
      </c>
      <c r="N45" s="54">
        <v>396</v>
      </c>
      <c r="O45" s="45">
        <v>289</v>
      </c>
      <c r="P45" s="56">
        <f>SUM(D45:O45)</f>
        <v>11698</v>
      </c>
    </row>
    <row r="46" spans="2:20" ht="44.85" customHeight="1" thickTop="1" thickBot="1" x14ac:dyDescent="0.3">
      <c r="B46" s="266"/>
      <c r="C46" s="61" t="s">
        <v>61</v>
      </c>
      <c r="D46" s="58" t="s">
        <v>73</v>
      </c>
      <c r="E46" s="58" t="s">
        <v>74</v>
      </c>
      <c r="F46" s="62" t="s">
        <v>75</v>
      </c>
      <c r="G46" s="58" t="s">
        <v>76</v>
      </c>
      <c r="H46" s="63" t="s">
        <v>77</v>
      </c>
      <c r="I46" s="59" t="s">
        <v>78</v>
      </c>
      <c r="J46" s="64" t="s">
        <v>79</v>
      </c>
      <c r="K46" s="64" t="s">
        <v>80</v>
      </c>
      <c r="L46" s="64" t="s">
        <v>81</v>
      </c>
      <c r="M46" s="64" t="s">
        <v>82</v>
      </c>
      <c r="N46" s="177">
        <f>N45/(N43+N45+N47+N49)</f>
        <v>0.2652377762893503</v>
      </c>
      <c r="O46" s="177">
        <f>O45/(O43+O45+O47+O49)</f>
        <v>0.24637681159420291</v>
      </c>
      <c r="P46" s="66">
        <f>P45/(P$43+P$45+P$47+P$49)</f>
        <v>0.33393280237503925</v>
      </c>
    </row>
    <row r="47" spans="2:20" ht="31.35" customHeight="1" thickTop="1" x14ac:dyDescent="0.25">
      <c r="B47" s="271" t="s">
        <v>83</v>
      </c>
      <c r="C47" s="57" t="s">
        <v>60</v>
      </c>
      <c r="D47" s="54">
        <v>5408</v>
      </c>
      <c r="E47" s="54">
        <v>1996</v>
      </c>
      <c r="F47" s="54">
        <v>1344</v>
      </c>
      <c r="G47" s="54">
        <v>724</v>
      </c>
      <c r="H47" s="54">
        <v>264</v>
      </c>
      <c r="I47" s="55">
        <v>15</v>
      </c>
      <c r="J47" s="67">
        <v>168</v>
      </c>
      <c r="K47" s="55">
        <v>56</v>
      </c>
      <c r="L47" s="67">
        <v>72</v>
      </c>
      <c r="M47" s="67">
        <v>104</v>
      </c>
      <c r="N47" s="53">
        <v>12</v>
      </c>
      <c r="O47" s="11">
        <v>13</v>
      </c>
      <c r="P47" s="68">
        <f>SUM(D47:O47)</f>
        <v>10176</v>
      </c>
    </row>
    <row r="48" spans="2:20" ht="44.85" customHeight="1" x14ac:dyDescent="0.25">
      <c r="B48" s="271" t="s">
        <v>84</v>
      </c>
      <c r="C48" s="57" t="s">
        <v>61</v>
      </c>
      <c r="D48" s="63" t="s">
        <v>85</v>
      </c>
      <c r="E48" s="63" t="s">
        <v>86</v>
      </c>
      <c r="F48" s="63" t="s">
        <v>87</v>
      </c>
      <c r="G48" s="58" t="s">
        <v>88</v>
      </c>
      <c r="H48" s="58" t="s">
        <v>89</v>
      </c>
      <c r="I48" s="59" t="s">
        <v>90</v>
      </c>
      <c r="J48" s="59" t="s">
        <v>91</v>
      </c>
      <c r="K48" s="59" t="s">
        <v>92</v>
      </c>
      <c r="L48" s="59" t="s">
        <v>93</v>
      </c>
      <c r="M48" s="59" t="s">
        <v>94</v>
      </c>
      <c r="N48" s="177">
        <f>N47/(N43+N45+N47+N49)</f>
        <v>8.0375083724045539E-3</v>
      </c>
      <c r="O48" s="177">
        <f>O47/(O43+O45+O47+O49)</f>
        <v>1.1082693947144074E-2</v>
      </c>
      <c r="P48" s="60">
        <f>P47/(P$43+P$45+P$47+P$49)</f>
        <v>0.29048556992378177</v>
      </c>
    </row>
    <row r="49" spans="2:258" ht="31.35" customHeight="1" thickTop="1" thickBot="1" x14ac:dyDescent="0.3">
      <c r="B49" s="266" t="s">
        <v>95</v>
      </c>
      <c r="C49" s="52" t="s">
        <v>60</v>
      </c>
      <c r="D49" s="54">
        <v>52</v>
      </c>
      <c r="E49" s="54">
        <v>1</v>
      </c>
      <c r="F49" s="69" t="s">
        <v>96</v>
      </c>
      <c r="G49" s="54">
        <v>2</v>
      </c>
      <c r="H49" s="69" t="s">
        <v>97</v>
      </c>
      <c r="I49" s="55">
        <v>14</v>
      </c>
      <c r="J49" s="70" t="s">
        <v>97</v>
      </c>
      <c r="K49" s="70">
        <v>0</v>
      </c>
      <c r="L49" s="70" t="s">
        <v>98</v>
      </c>
      <c r="M49" s="70" t="s">
        <v>96</v>
      </c>
      <c r="N49" s="45">
        <v>8</v>
      </c>
      <c r="O49" s="45" t="s">
        <v>98</v>
      </c>
      <c r="P49" s="56">
        <f>SUM(D49:O49)</f>
        <v>77</v>
      </c>
    </row>
    <row r="50" spans="2:258" ht="44.85" customHeight="1" thickTop="1" thickBot="1" x14ac:dyDescent="0.3">
      <c r="B50" s="266"/>
      <c r="C50" s="61" t="s">
        <v>61</v>
      </c>
      <c r="D50" s="63" t="s">
        <v>99</v>
      </c>
      <c r="E50" s="63" t="s">
        <v>100</v>
      </c>
      <c r="F50" s="63" t="s">
        <v>101</v>
      </c>
      <c r="G50" s="58" t="s">
        <v>102</v>
      </c>
      <c r="H50" s="63" t="s">
        <v>103</v>
      </c>
      <c r="I50" s="59" t="s">
        <v>104</v>
      </c>
      <c r="J50" s="64" t="s">
        <v>103</v>
      </c>
      <c r="K50" s="64" t="s">
        <v>103</v>
      </c>
      <c r="L50" s="64" t="s">
        <v>105</v>
      </c>
      <c r="M50" s="64" t="s">
        <v>106</v>
      </c>
      <c r="N50" s="177">
        <f>N49/(N49+N47+N45+N43)</f>
        <v>5.3583389149363695E-3</v>
      </c>
      <c r="O50" s="177">
        <f>O49/(O49+O47+O45+O43)</f>
        <v>1.0230179028132993E-2</v>
      </c>
      <c r="P50" s="66">
        <f>P49/(P$43+P$45+P$47+P$49)</f>
        <v>2.198053152921698E-3</v>
      </c>
    </row>
    <row r="51" spans="2:258" ht="43.15" customHeight="1" thickTop="1" thickBot="1" x14ac:dyDescent="0.3">
      <c r="B51" s="253" t="s">
        <v>107</v>
      </c>
      <c r="C51" s="253"/>
      <c r="D51" s="25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2:258" ht="44.85" customHeight="1" thickTop="1" thickBot="1" x14ac:dyDescent="0.3">
      <c r="B52" s="272" t="s">
        <v>108</v>
      </c>
      <c r="C52" s="52" t="s">
        <v>60</v>
      </c>
      <c r="D52" s="54">
        <v>2084</v>
      </c>
      <c r="E52" s="54">
        <v>1889</v>
      </c>
      <c r="F52" s="54">
        <v>1922</v>
      </c>
      <c r="G52" s="54">
        <v>1669</v>
      </c>
      <c r="H52" s="54">
        <v>1826</v>
      </c>
      <c r="I52" s="55">
        <v>980</v>
      </c>
      <c r="J52" s="55">
        <v>1348</v>
      </c>
      <c r="K52" s="55">
        <v>813</v>
      </c>
      <c r="L52" s="55">
        <v>1381</v>
      </c>
      <c r="M52" s="55">
        <v>1734</v>
      </c>
      <c r="N52" s="45">
        <v>1259</v>
      </c>
      <c r="O52" s="54">
        <v>1010</v>
      </c>
      <c r="P52" s="56">
        <f>SUM(D52:O52)</f>
        <v>17915</v>
      </c>
    </row>
    <row r="53" spans="2:258" ht="32.25" customHeight="1" thickTop="1" thickBot="1" x14ac:dyDescent="0.3">
      <c r="B53" s="272"/>
      <c r="C53" s="57" t="s">
        <v>61</v>
      </c>
      <c r="D53" s="58" t="s">
        <v>109</v>
      </c>
      <c r="E53" s="58" t="s">
        <v>110</v>
      </c>
      <c r="F53" s="58" t="s">
        <v>111</v>
      </c>
      <c r="G53" s="58" t="s">
        <v>112</v>
      </c>
      <c r="H53" s="58" t="s">
        <v>113</v>
      </c>
      <c r="I53" s="59" t="s">
        <v>114</v>
      </c>
      <c r="J53" s="59" t="s">
        <v>115</v>
      </c>
      <c r="K53" s="71">
        <v>0.69550000000000001</v>
      </c>
      <c r="L53" s="59" t="s">
        <v>116</v>
      </c>
      <c r="M53" s="59" t="s">
        <v>117</v>
      </c>
      <c r="N53" s="177">
        <f t="shared" ref="N53:O53" si="2">N52/(N$52+N$54+N$56)</f>
        <v>0.84724091520861378</v>
      </c>
      <c r="O53" s="177">
        <f t="shared" si="2"/>
        <v>0.87673611111111116</v>
      </c>
      <c r="P53" s="60">
        <f>P52/(P$52+P$54+P$56)</f>
        <v>0.51981778087279484</v>
      </c>
    </row>
    <row r="54" spans="2:258" ht="44.85" customHeight="1" thickTop="1" thickBot="1" x14ac:dyDescent="0.3">
      <c r="B54" s="273" t="s">
        <v>118</v>
      </c>
      <c r="C54" s="52" t="s">
        <v>60</v>
      </c>
      <c r="D54" s="54">
        <v>7467</v>
      </c>
      <c r="E54" s="54">
        <v>2715</v>
      </c>
      <c r="F54" s="54">
        <v>1948</v>
      </c>
      <c r="G54" s="54">
        <v>1139</v>
      </c>
      <c r="H54" s="54">
        <v>725</v>
      </c>
      <c r="I54" s="55">
        <v>294</v>
      </c>
      <c r="J54" s="55">
        <v>524</v>
      </c>
      <c r="K54" s="55">
        <v>339</v>
      </c>
      <c r="L54" s="55">
        <v>392</v>
      </c>
      <c r="M54" s="55">
        <v>443</v>
      </c>
      <c r="N54" s="45">
        <v>204</v>
      </c>
      <c r="O54" s="54">
        <v>136</v>
      </c>
      <c r="P54" s="56">
        <f>SUM(D54:O54)</f>
        <v>16326</v>
      </c>
    </row>
    <row r="55" spans="2:258" ht="26.1" customHeight="1" thickTop="1" thickBot="1" x14ac:dyDescent="0.3">
      <c r="B55" s="273"/>
      <c r="C55" s="61" t="s">
        <v>61</v>
      </c>
      <c r="D55" s="63" t="s">
        <v>119</v>
      </c>
      <c r="E55" s="63" t="s">
        <v>120</v>
      </c>
      <c r="F55" s="63" t="s">
        <v>121</v>
      </c>
      <c r="G55" s="58" t="s">
        <v>122</v>
      </c>
      <c r="H55" s="63" t="s">
        <v>123</v>
      </c>
      <c r="I55" s="59" t="s">
        <v>124</v>
      </c>
      <c r="J55" s="64" t="s">
        <v>125</v>
      </c>
      <c r="K55" s="71">
        <v>0.28999999999999998</v>
      </c>
      <c r="L55" s="64" t="s">
        <v>126</v>
      </c>
      <c r="M55" s="64" t="s">
        <v>127</v>
      </c>
      <c r="N55" s="178">
        <f t="shared" ref="N55:O55" si="3">N54/(N$52+N$54+N$56)</f>
        <v>0.13728129205921938</v>
      </c>
      <c r="O55" s="178">
        <f t="shared" si="3"/>
        <v>0.11805555555555555</v>
      </c>
      <c r="P55" s="66">
        <f>P54/(P$52+P$54+P$56)</f>
        <v>0.47371169916434541</v>
      </c>
    </row>
    <row r="56" spans="2:258" ht="44.85" customHeight="1" thickTop="1" thickBot="1" x14ac:dyDescent="0.3">
      <c r="B56" s="274" t="s">
        <v>128</v>
      </c>
      <c r="C56" s="57" t="s">
        <v>60</v>
      </c>
      <c r="D56" s="11">
        <v>79</v>
      </c>
      <c r="E56" s="54">
        <v>38</v>
      </c>
      <c r="F56" s="54">
        <v>34</v>
      </c>
      <c r="G56" s="54">
        <v>38</v>
      </c>
      <c r="H56" s="58" t="s">
        <v>129</v>
      </c>
      <c r="I56" s="55">
        <v>17</v>
      </c>
      <c r="J56" s="59" t="s">
        <v>130</v>
      </c>
      <c r="K56" s="55">
        <v>17</v>
      </c>
      <c r="L56" s="59" t="s">
        <v>131</v>
      </c>
      <c r="M56" s="59" t="s">
        <v>132</v>
      </c>
      <c r="N56" s="59" t="s">
        <v>551</v>
      </c>
      <c r="O56" s="59" t="s">
        <v>447</v>
      </c>
      <c r="P56" s="68">
        <f>SUM(D56:O56)</f>
        <v>223</v>
      </c>
    </row>
    <row r="57" spans="2:258" ht="49.35" customHeight="1" thickTop="1" thickBot="1" x14ac:dyDescent="0.3">
      <c r="B57" s="274"/>
      <c r="C57" s="61" t="s">
        <v>61</v>
      </c>
      <c r="D57" s="63" t="s">
        <v>133</v>
      </c>
      <c r="E57" s="63" t="s">
        <v>133</v>
      </c>
      <c r="F57" s="63" t="s">
        <v>134</v>
      </c>
      <c r="G57" s="63" t="s">
        <v>135</v>
      </c>
      <c r="H57" s="63" t="s">
        <v>136</v>
      </c>
      <c r="I57" s="64" t="s">
        <v>137</v>
      </c>
      <c r="J57" s="64" t="s">
        <v>138</v>
      </c>
      <c r="K57" s="64" t="s">
        <v>139</v>
      </c>
      <c r="L57" s="64" t="s">
        <v>140</v>
      </c>
      <c r="M57" s="64" t="s">
        <v>141</v>
      </c>
      <c r="N57" s="144">
        <f t="shared" ref="N57:O57" si="4">N56/(N$52+N$54+N$56)</f>
        <v>1.547779273216689E-2</v>
      </c>
      <c r="O57" s="144">
        <f t="shared" si="4"/>
        <v>5.208333333333333E-3</v>
      </c>
      <c r="P57" s="66">
        <f>P56/(P$52+P$54+P$56)</f>
        <v>6.4705199628597955E-3</v>
      </c>
    </row>
    <row r="58" spans="2:258" ht="44.65" customHeight="1" thickTop="1" x14ac:dyDescent="0.25">
      <c r="B58" s="72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258" s="74" customFormat="1" ht="17.25" customHeight="1" x14ac:dyDescent="0.25">
      <c r="B59" s="275" t="s">
        <v>142</v>
      </c>
      <c r="C59" s="2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  <c r="IX59" s="77"/>
    </row>
    <row r="60" spans="2:258" s="74" customFormat="1" ht="16.149999999999999" customHeight="1" x14ac:dyDescent="0.25">
      <c r="B60" s="276" t="s">
        <v>142</v>
      </c>
      <c r="C60" s="2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  <c r="IW60" s="77"/>
      <c r="IX60" s="77"/>
    </row>
    <row r="61" spans="2:258" s="74" customFormat="1" ht="20.65" customHeight="1" x14ac:dyDescent="0.25">
      <c r="B61" s="78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  <c r="IW61" s="77"/>
      <c r="IX61" s="77"/>
    </row>
    <row r="62" spans="2:258" s="74" customFormat="1" ht="13.9" customHeight="1" x14ac:dyDescent="0.25">
      <c r="B62" s="277" t="s">
        <v>143</v>
      </c>
      <c r="C62" s="277"/>
      <c r="D62" s="277"/>
      <c r="E62" s="277"/>
      <c r="F62" s="277"/>
      <c r="G62" s="277"/>
      <c r="H62" s="277"/>
      <c r="I62" s="277"/>
      <c r="J62" s="79"/>
      <c r="K62" s="79"/>
      <c r="L62" s="79"/>
      <c r="M62" s="79"/>
      <c r="N62" s="79"/>
      <c r="O62" s="79"/>
      <c r="P62" s="79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</row>
    <row r="63" spans="2:258" s="74" customFormat="1" ht="18.399999999999999" customHeight="1" x14ac:dyDescent="0.25">
      <c r="B63" s="270" t="s">
        <v>144</v>
      </c>
      <c r="C63" s="270"/>
      <c r="D63" s="270"/>
      <c r="E63" s="270"/>
      <c r="F63" s="270"/>
      <c r="G63" s="270"/>
      <c r="H63" s="270"/>
      <c r="I63" s="270"/>
      <c r="J63" s="79"/>
      <c r="K63" s="79"/>
      <c r="L63" s="79"/>
      <c r="M63" s="79"/>
      <c r="N63" s="79"/>
      <c r="O63" s="79"/>
      <c r="P63" s="79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  <c r="IW63" s="77"/>
      <c r="IX63" s="77"/>
    </row>
    <row r="64" spans="2:258" s="74" customFormat="1" ht="18.399999999999999" customHeight="1" x14ac:dyDescent="0.25"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</row>
    <row r="65" spans="2:258" s="74" customFormat="1" ht="27.2" customHeight="1" x14ac:dyDescent="0.25">
      <c r="B65" s="278" t="s">
        <v>577</v>
      </c>
      <c r="C65" s="278"/>
      <c r="D65" s="278"/>
      <c r="E65" s="278"/>
      <c r="F65" s="278"/>
      <c r="G65" s="278"/>
      <c r="H65" s="81"/>
      <c r="I65" s="81"/>
      <c r="J65" s="79"/>
      <c r="K65" s="79"/>
      <c r="L65" s="79"/>
      <c r="M65" s="79"/>
      <c r="N65" s="79"/>
      <c r="O65" s="79"/>
      <c r="P65" s="79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  <c r="IW65" s="77"/>
      <c r="IX65" s="77"/>
    </row>
    <row r="66" spans="2:258" s="74" customFormat="1" ht="25.15" customHeight="1" x14ac:dyDescent="0.25">
      <c r="B66" s="270" t="s">
        <v>576</v>
      </c>
      <c r="C66" s="270"/>
      <c r="D66" s="270"/>
      <c r="E66" s="270"/>
      <c r="F66" s="270"/>
      <c r="G66" s="270"/>
      <c r="H66" s="81"/>
      <c r="I66" s="81"/>
      <c r="J66" s="79"/>
      <c r="K66" s="79"/>
      <c r="L66" s="79"/>
      <c r="M66" s="79"/>
      <c r="N66" s="79"/>
      <c r="O66" s="79"/>
      <c r="P66" s="79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</row>
    <row r="67" spans="2:258" s="74" customFormat="1" ht="25.15" customHeight="1" x14ac:dyDescent="0.25">
      <c r="B67" s="80"/>
      <c r="C67" s="81"/>
      <c r="D67" s="81"/>
      <c r="E67" s="81"/>
      <c r="F67" s="81"/>
      <c r="G67" s="81"/>
      <c r="H67" s="81"/>
      <c r="I67" s="81"/>
      <c r="J67" s="79"/>
      <c r="K67" s="79"/>
      <c r="L67" s="79"/>
      <c r="M67" s="79"/>
      <c r="N67" s="79"/>
      <c r="O67" s="79"/>
      <c r="P67" s="79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  <c r="IW67" s="77"/>
      <c r="IX67" s="77"/>
    </row>
    <row r="68" spans="2:258" s="74" customFormat="1" ht="11.45" customHeight="1" x14ac:dyDescent="0.25">
      <c r="B68" s="277" t="s">
        <v>145</v>
      </c>
      <c r="C68" s="277"/>
      <c r="D68" s="277"/>
      <c r="E68" s="277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  <c r="IW68" s="77"/>
      <c r="IX68" s="77"/>
    </row>
    <row r="69" spans="2:258" s="74" customFormat="1" ht="16.149999999999999" customHeight="1" x14ac:dyDescent="0.25">
      <c r="B69" s="270" t="s">
        <v>146</v>
      </c>
      <c r="C69" s="270"/>
      <c r="D69" s="270"/>
      <c r="E69" s="270"/>
      <c r="F69" s="270"/>
      <c r="G69" s="270"/>
      <c r="H69" s="79"/>
      <c r="I69" s="79"/>
      <c r="J69" s="79"/>
      <c r="K69" s="79"/>
      <c r="L69" s="79"/>
      <c r="M69" s="79"/>
      <c r="N69" s="79"/>
      <c r="O69" s="79"/>
      <c r="P69" s="79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  <c r="IW69" s="77"/>
      <c r="IX69" s="77"/>
    </row>
    <row r="70" spans="2:258" s="74" customFormat="1" ht="16.149999999999999" customHeight="1" x14ac:dyDescent="0.25">
      <c r="B70" s="80"/>
      <c r="C70" s="81"/>
      <c r="D70" s="81"/>
      <c r="E70" s="81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  <c r="IW70" s="77"/>
      <c r="IX70" s="77"/>
    </row>
    <row r="71" spans="2:258" s="74" customFormat="1" ht="14.85" customHeight="1" x14ac:dyDescent="0.25">
      <c r="B71" s="277" t="s">
        <v>578</v>
      </c>
      <c r="C71" s="277"/>
      <c r="D71" s="277"/>
      <c r="E71" s="277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  <c r="IW71" s="77"/>
      <c r="IX71" s="77"/>
    </row>
    <row r="72" spans="2:258" s="74" customFormat="1" ht="19.5" customHeight="1" x14ac:dyDescent="0.25">
      <c r="B72" s="279" t="s">
        <v>579</v>
      </c>
      <c r="C72" s="279"/>
      <c r="D72" s="279"/>
      <c r="E72" s="2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  <c r="IW72" s="77"/>
      <c r="IX72" s="77"/>
    </row>
    <row r="73" spans="2:258" s="74" customFormat="1" ht="25.15" customHeight="1" x14ac:dyDescent="0.25">
      <c r="B73" s="82"/>
      <c r="C73" s="81"/>
      <c r="D73" s="81"/>
      <c r="E73" s="81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  <c r="IW73" s="77"/>
      <c r="IX73" s="77"/>
    </row>
    <row r="74" spans="2:258" s="74" customFormat="1" ht="13.9" customHeight="1" x14ac:dyDescent="0.25">
      <c r="B74" s="277" t="s">
        <v>147</v>
      </c>
      <c r="C74" s="277"/>
      <c r="D74" s="277"/>
      <c r="E74" s="277"/>
      <c r="F74" s="77"/>
      <c r="G74" s="77"/>
      <c r="H74" s="77"/>
      <c r="I74" s="77"/>
      <c r="J74" s="77"/>
      <c r="K74" s="77"/>
      <c r="L74" s="77"/>
      <c r="M74" s="83"/>
      <c r="N74" s="83"/>
      <c r="O74" s="83"/>
      <c r="P74" s="83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  <c r="IW74" s="77"/>
      <c r="IX74" s="77"/>
    </row>
    <row r="75" spans="2:258" s="74" customFormat="1" ht="16.149999999999999" customHeight="1" x14ac:dyDescent="0.25">
      <c r="B75" s="84" t="s">
        <v>148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83"/>
      <c r="N75" s="83"/>
      <c r="O75" s="83"/>
      <c r="P75" s="83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  <c r="IW75" s="77"/>
      <c r="IX75" s="77"/>
    </row>
    <row r="76" spans="2:258" s="74" customFormat="1" ht="29.85" customHeight="1" x14ac:dyDescent="0.25">
      <c r="B76" s="77"/>
      <c r="C76" s="77"/>
      <c r="D76" s="77"/>
      <c r="E76" s="77"/>
      <c r="F76" s="77"/>
      <c r="G76" s="77"/>
      <c r="H76" s="85"/>
      <c r="I76" s="85"/>
      <c r="J76" s="86"/>
      <c r="K76" s="86"/>
      <c r="L76" s="86"/>
      <c r="M76" s="83"/>
      <c r="N76" s="83"/>
      <c r="O76" s="83"/>
      <c r="P76" s="83"/>
      <c r="Q76" s="8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</row>
    <row r="77" spans="2:258" s="74" customFormat="1" ht="17.649999999999999" customHeight="1" x14ac:dyDescent="0.25">
      <c r="B77" s="77" t="s">
        <v>149</v>
      </c>
      <c r="C77" s="77"/>
      <c r="D77" s="77"/>
      <c r="E77" s="77"/>
      <c r="F77" s="77"/>
      <c r="G77" s="77"/>
      <c r="H77" s="85"/>
      <c r="I77" s="85"/>
      <c r="J77" s="86"/>
      <c r="K77" s="86"/>
      <c r="L77" s="86"/>
      <c r="M77" s="83"/>
      <c r="N77" s="83"/>
      <c r="O77" s="83"/>
      <c r="P77" s="83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</row>
    <row r="78" spans="2:258" s="74" customFormat="1" ht="13.15" customHeight="1" x14ac:dyDescent="0.25">
      <c r="B78" s="77" t="s">
        <v>150</v>
      </c>
      <c r="C78" s="88"/>
      <c r="D78" s="77"/>
      <c r="E78" s="77"/>
      <c r="F78" s="77"/>
      <c r="G78" s="77"/>
      <c r="H78" s="89"/>
      <c r="I78" s="89"/>
      <c r="J78" s="86"/>
      <c r="K78" s="86"/>
      <c r="L78" s="86"/>
      <c r="M78" s="86"/>
      <c r="N78" s="86"/>
      <c r="O78" s="86"/>
      <c r="P78" s="86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</row>
    <row r="79" spans="2:258" s="74" customFormat="1" ht="18.399999999999999" customHeight="1" x14ac:dyDescent="0.25">
      <c r="B79" s="77"/>
      <c r="C79" s="77"/>
      <c r="D79" s="77"/>
      <c r="E79" s="77"/>
      <c r="F79" s="77"/>
      <c r="G79" s="77"/>
      <c r="H79" s="89"/>
      <c r="I79" s="89"/>
      <c r="J79" s="86"/>
      <c r="K79" s="86"/>
      <c r="L79" s="86"/>
      <c r="M79" s="86"/>
      <c r="N79" s="86"/>
      <c r="O79" s="86"/>
      <c r="P79" s="86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</row>
    <row r="80" spans="2:258" s="74" customFormat="1" ht="25.15" customHeight="1" x14ac:dyDescent="0.25">
      <c r="B80" s="90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  <c r="IW80" s="77"/>
      <c r="IX80" s="77"/>
    </row>
    <row r="81" spans="1:258" s="74" customFormat="1" ht="17.25" customHeight="1" x14ac:dyDescent="0.2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  <c r="IW81" s="77"/>
      <c r="IX81" s="77"/>
    </row>
    <row r="82" spans="1:258" s="92" customFormat="1" ht="47.65" customHeight="1" x14ac:dyDescent="0.25">
      <c r="A82" s="74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</row>
    <row r="83" spans="1:258" ht="33.950000000000003" customHeight="1" x14ac:dyDescent="0.25">
      <c r="B83"/>
      <c r="Q83" s="93"/>
    </row>
    <row r="84" spans="1:258" ht="19.350000000000001" customHeight="1" x14ac:dyDescent="0.25">
      <c r="B84"/>
    </row>
    <row r="87" spans="1:258" x14ac:dyDescent="0.25">
      <c r="A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  <c r="IV87" s="95"/>
      <c r="IW87" s="95"/>
      <c r="IX87" s="95"/>
    </row>
    <row r="88" spans="1:258" x14ac:dyDescent="0.25">
      <c r="A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  <c r="IV88" s="95"/>
      <c r="IW88" s="95"/>
      <c r="IX88" s="95"/>
    </row>
    <row r="89" spans="1:258" x14ac:dyDescent="0.25"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  <c r="IV89" s="95"/>
      <c r="IW89" s="95"/>
      <c r="IX89" s="95"/>
    </row>
    <row r="90" spans="1:258" x14ac:dyDescent="0.25"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</row>
    <row r="91" spans="1:258" x14ac:dyDescent="0.25"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  <c r="IV91" s="95"/>
      <c r="IW91" s="95"/>
      <c r="IX91" s="95"/>
    </row>
    <row r="92" spans="1:258" x14ac:dyDescent="0.25"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  <c r="IV92" s="95"/>
      <c r="IW92" s="95"/>
      <c r="IX92" s="95"/>
    </row>
    <row r="93" spans="1:258" x14ac:dyDescent="0.25"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  <c r="IV93" s="95"/>
      <c r="IW93" s="95"/>
      <c r="IX93" s="95"/>
    </row>
    <row r="94" spans="1:258" x14ac:dyDescent="0.25"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  <c r="IV94" s="95"/>
      <c r="IW94" s="95"/>
      <c r="IX94" s="95"/>
    </row>
    <row r="95" spans="1:258" x14ac:dyDescent="0.25">
      <c r="Q95" s="96"/>
    </row>
    <row r="96" spans="1:258" x14ac:dyDescent="0.25">
      <c r="Q96" s="96"/>
    </row>
    <row r="97" spans="17:17" ht="30" customHeight="1" x14ac:dyDescent="0.25">
      <c r="Q97" s="96"/>
    </row>
    <row r="98" spans="17:17" ht="31.5" customHeight="1" x14ac:dyDescent="0.25">
      <c r="Q98" s="96"/>
    </row>
    <row r="99" spans="17:17" ht="30" customHeight="1" x14ac:dyDescent="0.25"/>
    <row r="100" spans="17:17" ht="30" customHeight="1" x14ac:dyDescent="0.25"/>
    <row r="1048576" ht="12.75" customHeight="1" x14ac:dyDescent="0.25"/>
  </sheetData>
  <mergeCells count="53">
    <mergeCell ref="B4:P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P25"/>
    <mergeCell ref="B26:B27"/>
    <mergeCell ref="B28:B29"/>
    <mergeCell ref="B30:B31"/>
    <mergeCell ref="B32:B33"/>
    <mergeCell ref="B34:B35"/>
    <mergeCell ref="B36:D36"/>
    <mergeCell ref="B37:C37"/>
    <mergeCell ref="B38:C38"/>
    <mergeCell ref="B39:C39"/>
    <mergeCell ref="B40:C40"/>
    <mergeCell ref="B41:C41"/>
    <mergeCell ref="B42:D42"/>
    <mergeCell ref="B43:B44"/>
    <mergeCell ref="B45:B46"/>
    <mergeCell ref="B47:B48"/>
    <mergeCell ref="B49:B50"/>
    <mergeCell ref="B51:D51"/>
    <mergeCell ref="B52:B53"/>
    <mergeCell ref="B54:B55"/>
    <mergeCell ref="B56:B57"/>
    <mergeCell ref="B59:C59"/>
    <mergeCell ref="B60:C60"/>
    <mergeCell ref="B62:I62"/>
    <mergeCell ref="B71:E71"/>
    <mergeCell ref="B72:E72"/>
    <mergeCell ref="B74:E74"/>
    <mergeCell ref="B63:I63"/>
    <mergeCell ref="B65:G65"/>
    <mergeCell ref="B66:G66"/>
    <mergeCell ref="B68:E68"/>
    <mergeCell ref="B69:G69"/>
  </mergeCells>
  <phoneticPr fontId="55" type="noConversion"/>
  <printOptions horizontalCentered="1"/>
  <pageMargins left="0.196527777777778" right="0.196527777777778" top="0.39374999999999999" bottom="0.63124999999999998" header="0.511811023622047" footer="0.39374999999999999"/>
  <pageSetup scale="44" orientation="landscape" horizontalDpi="300" verticalDpi="300" r:id="rId1"/>
  <headerFooter>
    <oddFooter>&amp;C&amp;"Arial,Normal"&amp;10&amp;P / &amp;N</oddFooter>
  </headerFooter>
  <rowBreaks count="2" manualBreakCount="2">
    <brk id="35" max="16383" man="1"/>
    <brk id="5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B6B"/>
  </sheetPr>
  <dimension ref="A1:IX1048576"/>
  <sheetViews>
    <sheetView topLeftCell="A2" zoomScale="68" zoomScaleNormal="68" workbookViewId="0">
      <selection activeCell="B71" sqref="B71:E71"/>
    </sheetView>
  </sheetViews>
  <sheetFormatPr baseColWidth="10" defaultColWidth="8.7109375" defaultRowHeight="15" x14ac:dyDescent="0.25"/>
  <cols>
    <col min="1" max="1" width="2.5703125" customWidth="1"/>
    <col min="2" max="2" width="17.7109375" style="1" customWidth="1"/>
    <col min="3" max="3" width="24.7109375" style="1" customWidth="1"/>
    <col min="4" max="15" width="20.85546875" style="1" customWidth="1"/>
    <col min="16" max="16" width="20.7109375" style="1" customWidth="1"/>
    <col min="17" max="258" width="8.7109375" style="1"/>
  </cols>
  <sheetData>
    <row r="1" spans="2:16" ht="12.75" hidden="1" customHeight="1" x14ac:dyDescent="0.25">
      <c r="B1" s="2"/>
      <c r="C1" s="2"/>
    </row>
    <row r="2" spans="2:16" ht="11.65" customHeight="1" x14ac:dyDescent="0.25">
      <c r="B2" s="2"/>
      <c r="C2" s="2"/>
    </row>
    <row r="3" spans="2:16" ht="83.1" customHeight="1" thickBot="1" x14ac:dyDescent="0.3">
      <c r="B3" s="2"/>
      <c r="C3" s="2"/>
      <c r="D3" s="1" t="s">
        <v>0</v>
      </c>
    </row>
    <row r="4" spans="2:16" ht="60.2" customHeight="1" x14ac:dyDescent="0.25">
      <c r="B4" s="251" t="s">
        <v>151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75.75" customHeight="1" x14ac:dyDescent="0.25">
      <c r="B5" s="252"/>
      <c r="C5" s="252"/>
      <c r="D5" s="3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2:16" ht="30" customHeight="1" x14ac:dyDescent="0.25">
      <c r="B6" s="253" t="s">
        <v>15</v>
      </c>
      <c r="C6" s="253"/>
      <c r="D6" s="2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1.35" customHeight="1" x14ac:dyDescent="0.25">
      <c r="B7" s="250" t="s">
        <v>16</v>
      </c>
      <c r="C7" s="250"/>
      <c r="D7" s="8">
        <v>31250</v>
      </c>
      <c r="E7" s="8">
        <v>18062</v>
      </c>
      <c r="F7" s="8">
        <v>12223</v>
      </c>
      <c r="G7" s="9">
        <v>9939</v>
      </c>
      <c r="H7" s="9">
        <v>8539</v>
      </c>
      <c r="I7" s="9">
        <v>7585</v>
      </c>
      <c r="J7" s="9">
        <v>16557</v>
      </c>
      <c r="K7" s="9">
        <v>8921</v>
      </c>
      <c r="L7" s="9">
        <v>6130</v>
      </c>
      <c r="M7" s="9">
        <v>5656</v>
      </c>
      <c r="N7" s="9">
        <v>7830</v>
      </c>
      <c r="O7" s="8">
        <v>14910</v>
      </c>
      <c r="P7" s="10">
        <f>SUM(D7:O7)</f>
        <v>147602</v>
      </c>
    </row>
    <row r="8" spans="2:16" ht="44.85" customHeight="1" x14ac:dyDescent="0.25">
      <c r="B8" s="254" t="s">
        <v>17</v>
      </c>
      <c r="C8" s="254"/>
      <c r="D8" s="11">
        <v>7179</v>
      </c>
      <c r="E8" s="11">
        <v>2746</v>
      </c>
      <c r="F8" s="11">
        <v>2378</v>
      </c>
      <c r="G8" s="11">
        <v>2197</v>
      </c>
      <c r="H8" s="11">
        <v>2367</v>
      </c>
      <c r="I8" s="11">
        <v>1955</v>
      </c>
      <c r="J8" s="11">
        <v>4569</v>
      </c>
      <c r="K8" s="11">
        <v>2100</v>
      </c>
      <c r="L8" s="11">
        <v>2438</v>
      </c>
      <c r="M8" s="11">
        <v>2276</v>
      </c>
      <c r="N8" s="11">
        <v>2703</v>
      </c>
      <c r="O8" s="11">
        <v>3985</v>
      </c>
      <c r="P8" s="12">
        <f>SUM(D8:O8)</f>
        <v>36893</v>
      </c>
    </row>
    <row r="9" spans="2:16" ht="44.85" customHeight="1" x14ac:dyDescent="0.25">
      <c r="B9" s="255" t="s">
        <v>18</v>
      </c>
      <c r="C9" s="255"/>
      <c r="D9" s="8">
        <v>20484</v>
      </c>
      <c r="E9" s="8">
        <v>11700</v>
      </c>
      <c r="F9" s="8">
        <v>7900</v>
      </c>
      <c r="G9" s="8">
        <v>6707</v>
      </c>
      <c r="H9" s="8">
        <v>5856</v>
      </c>
      <c r="I9" s="8">
        <v>5300</v>
      </c>
      <c r="J9" s="8">
        <v>12357</v>
      </c>
      <c r="K9" s="8">
        <v>6301</v>
      </c>
      <c r="L9" s="8">
        <v>4223</v>
      </c>
      <c r="M9" s="8">
        <v>3867</v>
      </c>
      <c r="N9" s="8">
        <v>5453</v>
      </c>
      <c r="O9" s="8">
        <v>11059</v>
      </c>
      <c r="P9" s="12">
        <f>SUM(D9:O9)</f>
        <v>101207</v>
      </c>
    </row>
    <row r="10" spans="2:16" ht="44.85" customHeight="1" x14ac:dyDescent="0.25">
      <c r="B10" s="254" t="s">
        <v>19</v>
      </c>
      <c r="C10" s="254"/>
      <c r="D10" s="11">
        <v>3101</v>
      </c>
      <c r="E10" s="11">
        <v>2295</v>
      </c>
      <c r="F10" s="11">
        <v>1975</v>
      </c>
      <c r="G10" s="11">
        <v>1822</v>
      </c>
      <c r="H10" s="11">
        <v>2022</v>
      </c>
      <c r="I10" s="11">
        <v>1673</v>
      </c>
      <c r="J10" s="11">
        <v>3915</v>
      </c>
      <c r="K10" s="11">
        <v>1821</v>
      </c>
      <c r="L10" s="11">
        <v>1989</v>
      </c>
      <c r="M10" s="11">
        <v>1872</v>
      </c>
      <c r="N10" s="11">
        <v>2130</v>
      </c>
      <c r="O10" s="11">
        <v>3192</v>
      </c>
      <c r="P10" s="12">
        <f>SUM(D9:O9)</f>
        <v>101207</v>
      </c>
    </row>
    <row r="11" spans="2:16" ht="31.35" customHeight="1" x14ac:dyDescent="0.25">
      <c r="B11" s="250" t="s">
        <v>20</v>
      </c>
      <c r="C11" s="250"/>
      <c r="D11" s="8">
        <v>115999</v>
      </c>
      <c r="E11" s="8">
        <v>64628</v>
      </c>
      <c r="F11" s="8">
        <v>42229</v>
      </c>
      <c r="G11" s="8">
        <v>33019</v>
      </c>
      <c r="H11" s="8">
        <v>29536</v>
      </c>
      <c r="I11" s="8">
        <v>26060</v>
      </c>
      <c r="J11" s="8">
        <v>49079</v>
      </c>
      <c r="K11" s="8">
        <v>27068</v>
      </c>
      <c r="L11" s="8">
        <v>21440</v>
      </c>
      <c r="M11" s="8">
        <v>20427</v>
      </c>
      <c r="N11" s="8">
        <v>28407</v>
      </c>
      <c r="O11" s="8">
        <v>44956</v>
      </c>
      <c r="P11" s="12">
        <f>SUM(D11:O11)</f>
        <v>502848</v>
      </c>
    </row>
    <row r="12" spans="2:16" ht="31.35" customHeight="1" x14ac:dyDescent="0.25">
      <c r="B12" s="256" t="s">
        <v>21</v>
      </c>
      <c r="C12" s="256"/>
      <c r="D12" s="11">
        <v>9229</v>
      </c>
      <c r="E12" s="11">
        <v>5024</v>
      </c>
      <c r="F12" s="11">
        <v>4691</v>
      </c>
      <c r="G12" s="11">
        <v>4099</v>
      </c>
      <c r="H12" s="11">
        <v>4241</v>
      </c>
      <c r="I12" s="11">
        <v>3399</v>
      </c>
      <c r="J12" s="11">
        <v>6808</v>
      </c>
      <c r="K12" s="11">
        <v>3353</v>
      </c>
      <c r="L12" s="11">
        <v>3842</v>
      </c>
      <c r="M12" s="11">
        <v>3929</v>
      </c>
      <c r="N12" s="11">
        <v>5423</v>
      </c>
      <c r="O12" s="11">
        <v>6232</v>
      </c>
      <c r="P12" s="12">
        <f>SUM(D12:O12)</f>
        <v>60270</v>
      </c>
    </row>
    <row r="13" spans="2:16" ht="31.35" customHeight="1" x14ac:dyDescent="0.25">
      <c r="B13" s="250" t="s">
        <v>22</v>
      </c>
      <c r="C13" s="250"/>
      <c r="D13" s="13">
        <v>3.71</v>
      </c>
      <c r="E13" s="13">
        <v>3.58</v>
      </c>
      <c r="F13" s="14">
        <v>3.45</v>
      </c>
      <c r="G13" s="14">
        <v>3.32</v>
      </c>
      <c r="H13" s="14">
        <v>3.46</v>
      </c>
      <c r="I13" s="14">
        <v>3.44</v>
      </c>
      <c r="J13" s="14">
        <v>2.96</v>
      </c>
      <c r="K13" s="14">
        <v>3.03</v>
      </c>
      <c r="L13" s="14">
        <v>3.5</v>
      </c>
      <c r="M13" s="14">
        <v>3.61</v>
      </c>
      <c r="N13" s="14">
        <v>3.63</v>
      </c>
      <c r="O13" s="14">
        <v>3.02</v>
      </c>
      <c r="P13" s="15">
        <f t="shared" ref="P13:P18" si="0">AVERAGE(D13:O13)</f>
        <v>3.3925000000000005</v>
      </c>
    </row>
    <row r="14" spans="2:16" ht="44.85" customHeight="1" x14ac:dyDescent="0.25">
      <c r="B14" s="257" t="s">
        <v>23</v>
      </c>
      <c r="C14" s="257"/>
      <c r="D14" s="16">
        <v>1.29</v>
      </c>
      <c r="E14" s="16">
        <v>1.83</v>
      </c>
      <c r="F14" s="17">
        <v>1.97</v>
      </c>
      <c r="G14" s="17">
        <v>1.87</v>
      </c>
      <c r="H14" s="17">
        <v>1.79</v>
      </c>
      <c r="I14" s="17">
        <v>1.74</v>
      </c>
      <c r="J14" s="17">
        <v>1.49</v>
      </c>
      <c r="K14" s="17">
        <v>1.6</v>
      </c>
      <c r="L14" s="17">
        <v>1.58</v>
      </c>
      <c r="M14" s="17">
        <v>1.73</v>
      </c>
      <c r="N14" s="17">
        <v>2.0099999999999998</v>
      </c>
      <c r="O14" s="17">
        <v>1.56</v>
      </c>
      <c r="P14" s="15">
        <f t="shared" si="0"/>
        <v>1.7049999999999998</v>
      </c>
    </row>
    <row r="15" spans="2:16" ht="44.85" customHeight="1" x14ac:dyDescent="0.25">
      <c r="B15" s="250" t="s">
        <v>24</v>
      </c>
      <c r="C15" s="250"/>
      <c r="D15" s="18" t="s">
        <v>152</v>
      </c>
      <c r="E15" s="18">
        <v>1.4814814814814801E-3</v>
      </c>
      <c r="F15" s="18">
        <v>1.33101851851852E-3</v>
      </c>
      <c r="G15" s="18">
        <v>1.2615740740740699E-3</v>
      </c>
      <c r="H15" s="18">
        <v>1.35416666666667E-3</v>
      </c>
      <c r="I15" s="18">
        <v>1.37731481481481E-3</v>
      </c>
      <c r="J15" s="18">
        <v>1.11111111111111E-3</v>
      </c>
      <c r="K15" s="18">
        <v>1.2384259259259299E-3</v>
      </c>
      <c r="L15" s="18">
        <v>1.35416666666667E-3</v>
      </c>
      <c r="M15" s="18">
        <v>1.4351851851851899E-3</v>
      </c>
      <c r="N15" s="18">
        <v>1.57407407407407E-3</v>
      </c>
      <c r="O15" s="18">
        <v>1.03009259259259E-3</v>
      </c>
      <c r="P15" s="19">
        <f t="shared" si="0"/>
        <v>1.3226010101010099E-3</v>
      </c>
    </row>
    <row r="16" spans="2:16" ht="44.85" customHeight="1" x14ac:dyDescent="0.25">
      <c r="B16" s="256" t="s">
        <v>25</v>
      </c>
      <c r="C16" s="256"/>
      <c r="D16" s="20">
        <v>3.7037037037037003E-4</v>
      </c>
      <c r="E16" s="20">
        <v>9.8379629629629598E-4</v>
      </c>
      <c r="F16" s="20">
        <v>1.13425925925926E-3</v>
      </c>
      <c r="G16" s="20">
        <v>9.4907407407407397E-4</v>
      </c>
      <c r="H16" s="20">
        <v>9.1435185185185196E-4</v>
      </c>
      <c r="I16" s="20">
        <v>8.3333333333333295E-4</v>
      </c>
      <c r="J16" s="20">
        <v>6.4814814814814802E-4</v>
      </c>
      <c r="K16" s="20">
        <v>7.6388888888888904E-4</v>
      </c>
      <c r="L16" s="20">
        <v>5.78703703703704E-4</v>
      </c>
      <c r="M16" s="20">
        <v>9.4907407407407397E-4</v>
      </c>
      <c r="N16" s="20">
        <v>1.2037037037037001E-3</v>
      </c>
      <c r="O16" s="20">
        <v>7.4074074074074103E-4</v>
      </c>
      <c r="P16" s="19">
        <f t="shared" si="0"/>
        <v>8.3912037037036996E-4</v>
      </c>
    </row>
    <row r="17" spans="2:16" ht="44.85" customHeight="1" x14ac:dyDescent="0.25">
      <c r="B17" s="250" t="s">
        <v>26</v>
      </c>
      <c r="C17" s="250"/>
      <c r="D17" s="21">
        <v>0.45910000000000001</v>
      </c>
      <c r="E17" s="21">
        <v>0.49709999999999999</v>
      </c>
      <c r="F17" s="22">
        <v>0.49819999999999998</v>
      </c>
      <c r="G17" s="22">
        <v>0.51649999999999996</v>
      </c>
      <c r="H17" s="22">
        <v>0.48520000000000002</v>
      </c>
      <c r="I17" s="22">
        <v>0.50429999999999997</v>
      </c>
      <c r="J17" s="22">
        <v>0.54190000000000005</v>
      </c>
      <c r="K17" s="22">
        <v>0.54220000000000002</v>
      </c>
      <c r="L17" s="22">
        <v>0.52990000000000004</v>
      </c>
      <c r="M17" s="22">
        <v>0.50229999999999997</v>
      </c>
      <c r="N17" s="22">
        <v>0.51060000000000005</v>
      </c>
      <c r="O17" s="22">
        <v>0.55269999999999997</v>
      </c>
      <c r="P17" s="23">
        <f t="shared" si="0"/>
        <v>0.51166666666666671</v>
      </c>
    </row>
    <row r="18" spans="2:16" ht="44.85" customHeight="1" x14ac:dyDescent="0.25">
      <c r="B18" s="257" t="s">
        <v>27</v>
      </c>
      <c r="C18" s="257"/>
      <c r="D18" s="24">
        <v>0.89370000000000005</v>
      </c>
      <c r="E18" s="24">
        <v>0.74439999999999995</v>
      </c>
      <c r="F18" s="25">
        <v>0.6905</v>
      </c>
      <c r="G18" s="25">
        <v>0.69820000000000004</v>
      </c>
      <c r="H18" s="25">
        <v>0.68149999999999999</v>
      </c>
      <c r="I18" s="25">
        <v>0.71050000000000002</v>
      </c>
      <c r="J18" s="25">
        <v>0.77480000000000004</v>
      </c>
      <c r="K18" s="25">
        <v>0.7571</v>
      </c>
      <c r="L18" s="25">
        <v>0.73009999999999997</v>
      </c>
      <c r="M18" s="25">
        <v>0.70740000000000003</v>
      </c>
      <c r="N18" s="25">
        <v>0.68410000000000004</v>
      </c>
      <c r="O18" s="25">
        <v>0.77439999999999998</v>
      </c>
      <c r="P18" s="23">
        <f t="shared" si="0"/>
        <v>0.73722500000000002</v>
      </c>
    </row>
    <row r="19" spans="2:16" ht="44.85" customHeight="1" x14ac:dyDescent="0.25">
      <c r="B19" s="255" t="s">
        <v>28</v>
      </c>
      <c r="C19" s="255"/>
      <c r="D19" s="8">
        <v>18365</v>
      </c>
      <c r="E19" s="8">
        <v>9379</v>
      </c>
      <c r="F19" s="8">
        <v>6079</v>
      </c>
      <c r="G19" s="8">
        <v>5158</v>
      </c>
      <c r="H19" s="8">
        <v>4692</v>
      </c>
      <c r="I19" s="8">
        <v>4280</v>
      </c>
      <c r="J19" s="8">
        <v>10753</v>
      </c>
      <c r="K19" s="8">
        <v>5120</v>
      </c>
      <c r="L19" s="8">
        <v>3413</v>
      </c>
      <c r="M19" s="8">
        <v>3198</v>
      </c>
      <c r="N19" s="8">
        <v>4623</v>
      </c>
      <c r="O19" s="8">
        <v>10036</v>
      </c>
      <c r="P19" s="12">
        <f>SUM(D19:O19)</f>
        <v>85096</v>
      </c>
    </row>
    <row r="20" spans="2:16" ht="44.85" customHeight="1" x14ac:dyDescent="0.25">
      <c r="B20" s="259" t="s">
        <v>29</v>
      </c>
      <c r="C20" s="259"/>
      <c r="D20" s="11">
        <v>2984</v>
      </c>
      <c r="E20" s="11">
        <v>2159</v>
      </c>
      <c r="F20" s="11">
        <v>1820</v>
      </c>
      <c r="G20" s="11">
        <v>1677</v>
      </c>
      <c r="H20" s="11">
        <v>1850</v>
      </c>
      <c r="I20" s="11">
        <v>1550</v>
      </c>
      <c r="J20" s="11">
        <v>3733</v>
      </c>
      <c r="K20" s="11">
        <v>1685</v>
      </c>
      <c r="L20" s="11">
        <v>1802</v>
      </c>
      <c r="M20" s="11">
        <v>1692</v>
      </c>
      <c r="N20" s="11">
        <v>1937</v>
      </c>
      <c r="O20" s="11">
        <v>2980</v>
      </c>
      <c r="P20" s="12">
        <f>SUM(D20:O20)</f>
        <v>25869</v>
      </c>
    </row>
    <row r="21" spans="2:16" ht="44.85" customHeight="1" x14ac:dyDescent="0.25">
      <c r="B21" s="260" t="s">
        <v>30</v>
      </c>
      <c r="C21" s="260"/>
      <c r="D21" s="26">
        <v>42746</v>
      </c>
      <c r="E21" s="26">
        <v>42767</v>
      </c>
      <c r="F21" s="26">
        <v>42795</v>
      </c>
      <c r="G21" s="26">
        <v>42830</v>
      </c>
      <c r="H21" s="26">
        <v>42859</v>
      </c>
      <c r="I21" s="26">
        <v>42914</v>
      </c>
      <c r="J21" s="26">
        <v>42924</v>
      </c>
      <c r="K21" s="26">
        <v>42949</v>
      </c>
      <c r="L21" s="26">
        <v>42991</v>
      </c>
      <c r="M21" s="26">
        <v>43033</v>
      </c>
      <c r="N21" s="26">
        <v>43068</v>
      </c>
      <c r="O21" s="26">
        <v>43096</v>
      </c>
      <c r="P21" s="27">
        <v>42746</v>
      </c>
    </row>
    <row r="22" spans="2:16" ht="78.599999999999994" customHeight="1" x14ac:dyDescent="0.25">
      <c r="B22" s="261" t="s">
        <v>31</v>
      </c>
      <c r="C22" s="261"/>
      <c r="D22" s="8">
        <v>2026</v>
      </c>
      <c r="E22" s="8">
        <v>1322</v>
      </c>
      <c r="F22" s="8">
        <v>655</v>
      </c>
      <c r="G22" s="8">
        <v>688</v>
      </c>
      <c r="H22" s="8">
        <v>485</v>
      </c>
      <c r="I22" s="28">
        <v>465</v>
      </c>
      <c r="J22" s="29">
        <v>897</v>
      </c>
      <c r="K22" s="28">
        <v>538</v>
      </c>
      <c r="L22" s="28">
        <v>324</v>
      </c>
      <c r="M22" s="28">
        <v>372</v>
      </c>
      <c r="N22" s="28">
        <v>424</v>
      </c>
      <c r="O22" s="28">
        <v>732</v>
      </c>
      <c r="P22" s="30">
        <v>2026</v>
      </c>
    </row>
    <row r="23" spans="2:16" ht="44.85" customHeight="1" x14ac:dyDescent="0.25">
      <c r="B23" s="262" t="s">
        <v>32</v>
      </c>
      <c r="C23" s="262"/>
      <c r="D23" s="31">
        <v>42765</v>
      </c>
      <c r="E23" s="31">
        <v>42773</v>
      </c>
      <c r="F23" s="31">
        <v>42823</v>
      </c>
      <c r="G23" s="31">
        <v>42846</v>
      </c>
      <c r="H23" s="31">
        <v>42871</v>
      </c>
      <c r="I23" s="31">
        <v>42887</v>
      </c>
      <c r="J23" s="31">
        <v>42927</v>
      </c>
      <c r="K23" s="32">
        <v>42949</v>
      </c>
      <c r="L23" s="31">
        <v>42991</v>
      </c>
      <c r="M23" s="31">
        <v>43015</v>
      </c>
      <c r="N23" s="31">
        <v>43040</v>
      </c>
      <c r="O23" s="31">
        <v>43096</v>
      </c>
      <c r="P23" s="27">
        <v>42765</v>
      </c>
    </row>
    <row r="24" spans="2:16" ht="73.349999999999994" customHeight="1" x14ac:dyDescent="0.25">
      <c r="B24" s="263" t="s">
        <v>33</v>
      </c>
      <c r="C24" s="263"/>
      <c r="D24" s="33">
        <v>5055</v>
      </c>
      <c r="E24" s="33">
        <v>206</v>
      </c>
      <c r="F24" s="33">
        <v>114</v>
      </c>
      <c r="G24" s="33">
        <v>135</v>
      </c>
      <c r="H24" s="33">
        <v>121</v>
      </c>
      <c r="I24" s="11">
        <v>100</v>
      </c>
      <c r="J24" s="33">
        <v>308</v>
      </c>
      <c r="K24" s="33">
        <v>114</v>
      </c>
      <c r="L24" s="33">
        <v>148</v>
      </c>
      <c r="M24" s="33">
        <v>181</v>
      </c>
      <c r="N24" s="33">
        <v>141</v>
      </c>
      <c r="O24" s="33">
        <v>244</v>
      </c>
      <c r="P24" s="34">
        <v>5055</v>
      </c>
    </row>
    <row r="25" spans="2:16" ht="43.15" customHeight="1" x14ac:dyDescent="0.25">
      <c r="B25" s="264" t="s">
        <v>34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2:16" ht="73.349999999999994" customHeight="1" x14ac:dyDescent="0.25">
      <c r="B26" s="265" t="s">
        <v>35</v>
      </c>
      <c r="C26" s="35" t="s">
        <v>36</v>
      </c>
      <c r="D26" s="37" t="s">
        <v>38</v>
      </c>
      <c r="E26" s="37" t="s">
        <v>37</v>
      </c>
      <c r="F26" s="37" t="s">
        <v>37</v>
      </c>
      <c r="G26" s="37" t="s">
        <v>38</v>
      </c>
      <c r="H26" s="37" t="s">
        <v>38</v>
      </c>
      <c r="I26" s="37" t="s">
        <v>38</v>
      </c>
      <c r="J26" s="37" t="s">
        <v>38</v>
      </c>
      <c r="K26" s="37" t="s">
        <v>38</v>
      </c>
      <c r="L26" s="37" t="s">
        <v>38</v>
      </c>
      <c r="M26" s="37" t="s">
        <v>37</v>
      </c>
      <c r="N26" s="37" t="s">
        <v>37</v>
      </c>
      <c r="O26" s="37" t="s">
        <v>37</v>
      </c>
      <c r="P26" s="38" t="s">
        <v>38</v>
      </c>
    </row>
    <row r="27" spans="2:16" ht="73.349999999999994" customHeight="1" thickTop="1" thickBot="1" x14ac:dyDescent="0.3">
      <c r="B27" s="265"/>
      <c r="C27" s="39" t="s">
        <v>39</v>
      </c>
      <c r="D27" s="33">
        <v>100688</v>
      </c>
      <c r="E27" s="40">
        <v>25267</v>
      </c>
      <c r="F27" s="40">
        <v>16507</v>
      </c>
      <c r="G27" s="40">
        <v>11598</v>
      </c>
      <c r="H27" s="40">
        <v>10446</v>
      </c>
      <c r="I27" s="40">
        <v>18070</v>
      </c>
      <c r="J27" s="40">
        <v>23850</v>
      </c>
      <c r="K27" s="40">
        <v>12721</v>
      </c>
      <c r="L27" s="40">
        <v>9227</v>
      </c>
      <c r="M27" s="40">
        <v>8118</v>
      </c>
      <c r="N27" s="40">
        <v>12308</v>
      </c>
      <c r="O27" s="40">
        <v>20581</v>
      </c>
      <c r="P27" s="41">
        <f>L27+K27+J27+I27+H27+G27+D27+M29+N29+O29</f>
        <v>220861</v>
      </c>
    </row>
    <row r="28" spans="2:16" ht="73.349999999999994" customHeight="1" thickTop="1" thickBot="1" x14ac:dyDescent="0.3">
      <c r="B28" s="258" t="s">
        <v>40</v>
      </c>
      <c r="C28" s="35" t="s">
        <v>36</v>
      </c>
      <c r="D28" s="37" t="s">
        <v>37</v>
      </c>
      <c r="E28" s="37" t="s">
        <v>38</v>
      </c>
      <c r="F28" s="37" t="s">
        <v>38</v>
      </c>
      <c r="G28" s="37" t="s">
        <v>41</v>
      </c>
      <c r="H28" s="37" t="s">
        <v>41</v>
      </c>
      <c r="I28" s="37" t="s">
        <v>37</v>
      </c>
      <c r="J28" s="37" t="s">
        <v>37</v>
      </c>
      <c r="K28" s="37" t="s">
        <v>37</v>
      </c>
      <c r="L28" s="37" t="s">
        <v>37</v>
      </c>
      <c r="M28" s="37" t="s">
        <v>38</v>
      </c>
      <c r="N28" s="37" t="s">
        <v>38</v>
      </c>
      <c r="O28" s="37" t="s">
        <v>38</v>
      </c>
      <c r="P28" s="38" t="s">
        <v>37</v>
      </c>
    </row>
    <row r="29" spans="2:16" ht="73.349999999999994" customHeight="1" thickTop="1" thickBot="1" x14ac:dyDescent="0.3">
      <c r="B29" s="258"/>
      <c r="C29" s="42" t="s">
        <v>42</v>
      </c>
      <c r="D29" s="33" t="s">
        <v>153</v>
      </c>
      <c r="E29" s="40">
        <v>24984</v>
      </c>
      <c r="F29" s="40">
        <v>14918</v>
      </c>
      <c r="G29" s="40">
        <v>1427</v>
      </c>
      <c r="H29" s="40">
        <v>1618</v>
      </c>
      <c r="I29" s="40">
        <v>10272</v>
      </c>
      <c r="J29" s="40">
        <v>21145</v>
      </c>
      <c r="K29" s="40">
        <v>11686</v>
      </c>
      <c r="L29" s="40">
        <v>8532</v>
      </c>
      <c r="M29" s="40">
        <v>7052</v>
      </c>
      <c r="N29" s="40">
        <v>9834</v>
      </c>
      <c r="O29" s="40">
        <v>17375</v>
      </c>
      <c r="P29" s="41">
        <f>M27+N27+O27+L29+K29+J29+I29+D29+G33</f>
        <v>96337</v>
      </c>
    </row>
    <row r="30" spans="2:16" ht="73.349999999999994" customHeight="1" x14ac:dyDescent="0.25">
      <c r="B30" s="267" t="s">
        <v>43</v>
      </c>
      <c r="C30" s="39" t="s">
        <v>36</v>
      </c>
      <c r="D30" s="37" t="s">
        <v>41</v>
      </c>
      <c r="E30" s="37" t="s">
        <v>44</v>
      </c>
      <c r="F30" s="37" t="s">
        <v>41</v>
      </c>
      <c r="G30" s="37" t="s">
        <v>44</v>
      </c>
      <c r="H30" s="37" t="s">
        <v>49</v>
      </c>
      <c r="I30" s="37" t="s">
        <v>41</v>
      </c>
      <c r="J30" s="37" t="s">
        <v>44</v>
      </c>
      <c r="K30" s="37" t="s">
        <v>44</v>
      </c>
      <c r="L30" s="37" t="s">
        <v>44</v>
      </c>
      <c r="M30" s="37" t="s">
        <v>41</v>
      </c>
      <c r="N30" s="37" t="s">
        <v>41</v>
      </c>
      <c r="O30" s="37" t="s">
        <v>44</v>
      </c>
      <c r="P30" s="38" t="s">
        <v>44</v>
      </c>
    </row>
    <row r="31" spans="2:16" ht="73.349999999999994" customHeight="1" x14ac:dyDescent="0.25">
      <c r="B31" s="267"/>
      <c r="C31" s="43" t="s">
        <v>42</v>
      </c>
      <c r="D31" s="33">
        <v>2354</v>
      </c>
      <c r="E31" s="40">
        <v>1487</v>
      </c>
      <c r="F31" s="40">
        <v>1716</v>
      </c>
      <c r="G31" s="40">
        <v>543</v>
      </c>
      <c r="H31" s="40">
        <v>661</v>
      </c>
      <c r="I31" s="40">
        <v>1267</v>
      </c>
      <c r="J31" s="40">
        <v>3326</v>
      </c>
      <c r="K31" s="40">
        <v>1258</v>
      </c>
      <c r="L31" s="40">
        <v>1036</v>
      </c>
      <c r="M31" s="40">
        <v>1368</v>
      </c>
      <c r="N31" s="40">
        <v>2043</v>
      </c>
      <c r="O31" s="40">
        <v>3128</v>
      </c>
      <c r="P31" s="41">
        <f>E31+F33+H33+I33+M33+N33+O31+L31+K31+J31</f>
        <v>13936</v>
      </c>
    </row>
    <row r="32" spans="2:16" ht="95.65" customHeight="1" x14ac:dyDescent="0.25">
      <c r="B32" s="258" t="s">
        <v>45</v>
      </c>
      <c r="C32" s="35" t="s">
        <v>36</v>
      </c>
      <c r="D32" s="37" t="s">
        <v>154</v>
      </c>
      <c r="E32" s="37" t="s">
        <v>41</v>
      </c>
      <c r="F32" s="37" t="s">
        <v>44</v>
      </c>
      <c r="G32" s="37" t="s">
        <v>37</v>
      </c>
      <c r="H32" s="37" t="s">
        <v>155</v>
      </c>
      <c r="I32" s="37" t="s">
        <v>44</v>
      </c>
      <c r="J32" s="37" t="s">
        <v>41</v>
      </c>
      <c r="K32" s="37" t="s">
        <v>41</v>
      </c>
      <c r="L32" s="37" t="s">
        <v>41</v>
      </c>
      <c r="M32" s="37" t="s">
        <v>44</v>
      </c>
      <c r="N32" s="37" t="s">
        <v>44</v>
      </c>
      <c r="O32" s="37" t="s">
        <v>41</v>
      </c>
      <c r="P32" s="44" t="s">
        <v>41</v>
      </c>
    </row>
    <row r="33" spans="2:16" ht="96.4" customHeight="1" x14ac:dyDescent="0.25">
      <c r="B33" s="258"/>
      <c r="C33" s="42" t="s">
        <v>42</v>
      </c>
      <c r="D33" s="33" t="s">
        <v>156</v>
      </c>
      <c r="E33" s="40">
        <v>1009</v>
      </c>
      <c r="F33" s="40">
        <v>687</v>
      </c>
      <c r="G33" s="40">
        <v>340</v>
      </c>
      <c r="H33" s="40">
        <v>581</v>
      </c>
      <c r="I33" s="40">
        <v>518</v>
      </c>
      <c r="J33" s="40">
        <v>1849</v>
      </c>
      <c r="K33" s="40">
        <v>973</v>
      </c>
      <c r="L33" s="40">
        <v>1300</v>
      </c>
      <c r="M33" s="40">
        <v>849</v>
      </c>
      <c r="N33" s="40">
        <v>1066</v>
      </c>
      <c r="O33" s="40">
        <v>1364</v>
      </c>
      <c r="P33" s="41">
        <f>O33+N31+M31+I31+F31+D31+E33+J33+K33+L33</f>
        <v>15243</v>
      </c>
    </row>
    <row r="34" spans="2:16" ht="97.5" customHeight="1" x14ac:dyDescent="0.25">
      <c r="B34" s="267" t="s">
        <v>48</v>
      </c>
      <c r="C34" s="39" t="s">
        <v>36</v>
      </c>
      <c r="D34" s="37" t="s">
        <v>157</v>
      </c>
      <c r="E34" s="37" t="s">
        <v>154</v>
      </c>
      <c r="F34" s="37" t="s">
        <v>46</v>
      </c>
      <c r="G34" s="37" t="s">
        <v>49</v>
      </c>
      <c r="H34" s="37" t="s">
        <v>46</v>
      </c>
      <c r="I34" s="37" t="s">
        <v>49</v>
      </c>
      <c r="J34" s="37" t="s">
        <v>49</v>
      </c>
      <c r="K34" s="37" t="s">
        <v>49</v>
      </c>
      <c r="L34" s="37" t="s">
        <v>49</v>
      </c>
      <c r="M34" s="37" t="s">
        <v>49</v>
      </c>
      <c r="N34" s="37" t="s">
        <v>46</v>
      </c>
      <c r="O34" s="37" t="s">
        <v>49</v>
      </c>
      <c r="P34" s="44" t="s">
        <v>49</v>
      </c>
    </row>
    <row r="35" spans="2:16" ht="73.349999999999994" customHeight="1" x14ac:dyDescent="0.25">
      <c r="B35" s="267"/>
      <c r="C35" s="43" t="s">
        <v>42</v>
      </c>
      <c r="D35" s="33" t="s">
        <v>158</v>
      </c>
      <c r="E35" s="40">
        <v>342</v>
      </c>
      <c r="F35" s="40">
        <v>429</v>
      </c>
      <c r="G35" s="40">
        <v>531</v>
      </c>
      <c r="H35" s="40">
        <v>323</v>
      </c>
      <c r="I35" s="40">
        <v>402</v>
      </c>
      <c r="J35" s="40">
        <v>642</v>
      </c>
      <c r="K35" s="40">
        <v>309</v>
      </c>
      <c r="L35" s="40">
        <v>446</v>
      </c>
      <c r="M35" s="40">
        <v>597</v>
      </c>
      <c r="N35" s="40">
        <v>536</v>
      </c>
      <c r="O35" s="40">
        <v>288</v>
      </c>
      <c r="P35" s="41">
        <f>O35+M35+L35+K35+J35+I35+G35</f>
        <v>3215</v>
      </c>
    </row>
    <row r="36" spans="2:16" ht="49.35" customHeight="1" x14ac:dyDescent="0.25">
      <c r="B36" s="253" t="s">
        <v>51</v>
      </c>
      <c r="C36" s="253"/>
      <c r="D36" s="25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2:16" ht="44.85" customHeight="1" x14ac:dyDescent="0.25">
      <c r="B37" s="265" t="s">
        <v>35</v>
      </c>
      <c r="C37" s="265"/>
      <c r="D37" s="45" t="s">
        <v>52</v>
      </c>
      <c r="E37" s="45" t="s">
        <v>52</v>
      </c>
      <c r="F37" s="45" t="s">
        <v>52</v>
      </c>
      <c r="G37" s="45" t="s">
        <v>52</v>
      </c>
      <c r="H37" s="45" t="s">
        <v>52</v>
      </c>
      <c r="I37" s="50" t="s">
        <v>52</v>
      </c>
      <c r="J37" s="50" t="s">
        <v>52</v>
      </c>
      <c r="K37" s="50" t="s">
        <v>52</v>
      </c>
      <c r="L37" s="46" t="s">
        <v>52</v>
      </c>
      <c r="M37" s="46" t="s">
        <v>52</v>
      </c>
      <c r="N37" s="46" t="s">
        <v>52</v>
      </c>
      <c r="O37" s="47" t="s">
        <v>52</v>
      </c>
      <c r="P37" s="48" t="s">
        <v>52</v>
      </c>
    </row>
    <row r="38" spans="2:16" ht="44.85" customHeight="1" x14ac:dyDescent="0.25">
      <c r="B38" s="267" t="s">
        <v>40</v>
      </c>
      <c r="C38" s="267"/>
      <c r="D38" s="11" t="s">
        <v>53</v>
      </c>
      <c r="E38" s="11" t="s">
        <v>53</v>
      </c>
      <c r="F38" s="11" t="s">
        <v>53</v>
      </c>
      <c r="G38" s="11" t="s">
        <v>53</v>
      </c>
      <c r="H38" s="11" t="s">
        <v>53</v>
      </c>
      <c r="I38" s="50" t="s">
        <v>53</v>
      </c>
      <c r="J38" s="50" t="s">
        <v>53</v>
      </c>
      <c r="K38" s="50" t="s">
        <v>53</v>
      </c>
      <c r="L38" s="46" t="s">
        <v>53</v>
      </c>
      <c r="M38" s="46" t="s">
        <v>53</v>
      </c>
      <c r="N38" s="46" t="s">
        <v>53</v>
      </c>
      <c r="O38" s="47" t="s">
        <v>53</v>
      </c>
      <c r="P38" s="49" t="s">
        <v>53</v>
      </c>
    </row>
    <row r="39" spans="2:16" ht="44.85" customHeight="1" x14ac:dyDescent="0.25">
      <c r="B39" s="267" t="s">
        <v>43</v>
      </c>
      <c r="C39" s="267"/>
      <c r="D39" s="11" t="s">
        <v>54</v>
      </c>
      <c r="E39" s="11" t="s">
        <v>54</v>
      </c>
      <c r="F39" s="11" t="s">
        <v>54</v>
      </c>
      <c r="G39" s="11" t="s">
        <v>54</v>
      </c>
      <c r="H39" s="11" t="s">
        <v>54</v>
      </c>
      <c r="I39" s="50" t="s">
        <v>54</v>
      </c>
      <c r="J39" s="50" t="s">
        <v>54</v>
      </c>
      <c r="K39" s="50" t="s">
        <v>54</v>
      </c>
      <c r="L39" s="97" t="s">
        <v>54</v>
      </c>
      <c r="M39" s="46" t="s">
        <v>54</v>
      </c>
      <c r="N39" s="46" t="s">
        <v>54</v>
      </c>
      <c r="O39" s="47" t="s">
        <v>54</v>
      </c>
      <c r="P39" s="49" t="s">
        <v>54</v>
      </c>
    </row>
    <row r="40" spans="2:16" ht="44.85" customHeight="1" x14ac:dyDescent="0.25">
      <c r="B40" s="267" t="s">
        <v>45</v>
      </c>
      <c r="C40" s="267"/>
      <c r="D40" s="11" t="s">
        <v>56</v>
      </c>
      <c r="E40" s="11" t="s">
        <v>56</v>
      </c>
      <c r="F40" s="11" t="s">
        <v>56</v>
      </c>
      <c r="G40" s="11" t="s">
        <v>56</v>
      </c>
      <c r="H40" s="11" t="s">
        <v>56</v>
      </c>
      <c r="I40" s="50" t="s">
        <v>56</v>
      </c>
      <c r="J40" s="50" t="s">
        <v>56</v>
      </c>
      <c r="K40" s="50" t="s">
        <v>56</v>
      </c>
      <c r="L40" s="50" t="s">
        <v>56</v>
      </c>
      <c r="M40" s="50" t="s">
        <v>56</v>
      </c>
      <c r="N40" s="50" t="s">
        <v>56</v>
      </c>
      <c r="O40" s="11" t="s">
        <v>56</v>
      </c>
      <c r="P40" s="49" t="s">
        <v>56</v>
      </c>
    </row>
    <row r="41" spans="2:16" ht="44.85" customHeight="1" x14ac:dyDescent="0.25">
      <c r="B41" s="268" t="s">
        <v>48</v>
      </c>
      <c r="C41" s="268"/>
      <c r="D41" s="40" t="s">
        <v>57</v>
      </c>
      <c r="E41" s="40" t="s">
        <v>57</v>
      </c>
      <c r="F41" s="40" t="s">
        <v>57</v>
      </c>
      <c r="G41" s="40" t="s">
        <v>57</v>
      </c>
      <c r="H41" s="40" t="s">
        <v>57</v>
      </c>
      <c r="I41" s="98" t="s">
        <v>57</v>
      </c>
      <c r="J41" s="98" t="s">
        <v>57</v>
      </c>
      <c r="K41" s="98" t="s">
        <v>57</v>
      </c>
      <c r="L41" s="40" t="s">
        <v>57</v>
      </c>
      <c r="M41" s="40" t="s">
        <v>57</v>
      </c>
      <c r="N41" s="40" t="s">
        <v>57</v>
      </c>
      <c r="O41" s="40" t="s">
        <v>57</v>
      </c>
      <c r="P41" s="51" t="s">
        <v>57</v>
      </c>
    </row>
    <row r="42" spans="2:16" ht="44.85" customHeight="1" x14ac:dyDescent="0.25">
      <c r="B42" s="253" t="s">
        <v>58</v>
      </c>
      <c r="C42" s="253"/>
      <c r="D42" s="25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2:16" ht="39" customHeight="1" x14ac:dyDescent="0.25">
      <c r="B43" s="269" t="s">
        <v>59</v>
      </c>
      <c r="C43" s="52" t="s">
        <v>60</v>
      </c>
      <c r="D43" s="53">
        <v>8280</v>
      </c>
      <c r="E43" s="53">
        <v>3833</v>
      </c>
      <c r="F43" s="54">
        <v>2983</v>
      </c>
      <c r="G43" s="54">
        <v>2544</v>
      </c>
      <c r="H43" s="54">
        <v>2680</v>
      </c>
      <c r="I43" s="55">
        <v>2389</v>
      </c>
      <c r="J43" s="55">
        <v>4833</v>
      </c>
      <c r="K43" s="55">
        <v>2342</v>
      </c>
      <c r="L43" s="55">
        <v>1718</v>
      </c>
      <c r="M43" s="55">
        <v>1549</v>
      </c>
      <c r="N43" s="54">
        <v>1994</v>
      </c>
      <c r="O43" s="54">
        <v>3309</v>
      </c>
      <c r="P43" s="56">
        <f>SUM(D43:O43)</f>
        <v>38454</v>
      </c>
    </row>
    <row r="44" spans="2:16" ht="44.85" customHeight="1" x14ac:dyDescent="0.25">
      <c r="B44" s="269"/>
      <c r="C44" s="57" t="s">
        <v>61</v>
      </c>
      <c r="D44" s="58" t="s">
        <v>159</v>
      </c>
      <c r="E44" s="58" t="s">
        <v>160</v>
      </c>
      <c r="F44" s="58" t="s">
        <v>161</v>
      </c>
      <c r="G44" s="58" t="s">
        <v>162</v>
      </c>
      <c r="H44" s="58" t="s">
        <v>163</v>
      </c>
      <c r="I44" s="59" t="s">
        <v>164</v>
      </c>
      <c r="J44" s="59" t="s">
        <v>165</v>
      </c>
      <c r="K44" s="59" t="s">
        <v>166</v>
      </c>
      <c r="L44" s="59" t="s">
        <v>167</v>
      </c>
      <c r="M44" s="59" t="s">
        <v>168</v>
      </c>
      <c r="N44" s="58" t="s">
        <v>169</v>
      </c>
      <c r="O44" s="58" t="s">
        <v>170</v>
      </c>
      <c r="P44" s="60">
        <f>P43/(P$43+P$45+P$47+P$49)</f>
        <v>0.3745689739143987</v>
      </c>
    </row>
    <row r="45" spans="2:16" ht="31.35" customHeight="1" x14ac:dyDescent="0.25">
      <c r="B45" s="266" t="s">
        <v>72</v>
      </c>
      <c r="C45" s="52" t="s">
        <v>60</v>
      </c>
      <c r="D45" s="54">
        <v>1513</v>
      </c>
      <c r="E45" s="54">
        <v>960</v>
      </c>
      <c r="F45" s="54">
        <v>942</v>
      </c>
      <c r="G45" s="54">
        <v>924</v>
      </c>
      <c r="H45" s="54">
        <v>832</v>
      </c>
      <c r="I45" s="55">
        <v>793</v>
      </c>
      <c r="J45" s="55">
        <v>1025</v>
      </c>
      <c r="K45" s="55">
        <v>696</v>
      </c>
      <c r="L45" s="55">
        <v>806</v>
      </c>
      <c r="M45" s="55">
        <v>984</v>
      </c>
      <c r="N45" s="54">
        <v>1393</v>
      </c>
      <c r="O45" s="54">
        <v>2395</v>
      </c>
      <c r="P45" s="56">
        <f>SUM(D45:O45)</f>
        <v>13263</v>
      </c>
    </row>
    <row r="46" spans="2:16" ht="44.85" customHeight="1" x14ac:dyDescent="0.25">
      <c r="B46" s="266"/>
      <c r="C46" s="61" t="s">
        <v>61</v>
      </c>
      <c r="D46" s="58" t="s">
        <v>171</v>
      </c>
      <c r="E46" s="58" t="s">
        <v>172</v>
      </c>
      <c r="F46" s="62" t="s">
        <v>173</v>
      </c>
      <c r="G46" s="58" t="s">
        <v>174</v>
      </c>
      <c r="H46" s="63" t="s">
        <v>175</v>
      </c>
      <c r="I46" s="59" t="s">
        <v>176</v>
      </c>
      <c r="J46" s="64" t="s">
        <v>177</v>
      </c>
      <c r="K46" s="64" t="s">
        <v>178</v>
      </c>
      <c r="L46" s="64" t="s">
        <v>179</v>
      </c>
      <c r="M46" s="64" t="s">
        <v>180</v>
      </c>
      <c r="N46" s="63" t="s">
        <v>181</v>
      </c>
      <c r="O46" s="65">
        <v>0.2117</v>
      </c>
      <c r="P46" s="66">
        <f>P45/(P$43+P$45+P$47+P$49)</f>
        <v>0.12919093725039449</v>
      </c>
    </row>
    <row r="47" spans="2:16" ht="31.35" customHeight="1" x14ac:dyDescent="0.25">
      <c r="B47" s="271" t="s">
        <v>83</v>
      </c>
      <c r="C47" s="57" t="s">
        <v>60</v>
      </c>
      <c r="D47" s="54">
        <v>10723</v>
      </c>
      <c r="E47" s="54">
        <v>6790</v>
      </c>
      <c r="F47" s="54">
        <v>4032</v>
      </c>
      <c r="G47" s="54">
        <v>3312</v>
      </c>
      <c r="H47" s="54">
        <v>2410</v>
      </c>
      <c r="I47" s="55">
        <v>2111</v>
      </c>
      <c r="J47" s="67">
        <v>6578</v>
      </c>
      <c r="K47" s="55">
        <v>3332</v>
      </c>
      <c r="L47" s="67">
        <v>1728</v>
      </c>
      <c r="M47" s="67">
        <v>1371</v>
      </c>
      <c r="N47" s="53">
        <v>2145</v>
      </c>
      <c r="O47" s="53">
        <v>5583</v>
      </c>
      <c r="P47" s="68">
        <f>SUM(D47:O47)</f>
        <v>50115</v>
      </c>
    </row>
    <row r="48" spans="2:16" ht="44.85" customHeight="1" x14ac:dyDescent="0.25">
      <c r="B48" s="271" t="s">
        <v>84</v>
      </c>
      <c r="C48" s="57" t="s">
        <v>61</v>
      </c>
      <c r="D48" s="63" t="s">
        <v>182</v>
      </c>
      <c r="E48" s="63" t="s">
        <v>183</v>
      </c>
      <c r="F48" s="63" t="s">
        <v>184</v>
      </c>
      <c r="G48" s="58" t="s">
        <v>185</v>
      </c>
      <c r="H48" s="58" t="s">
        <v>186</v>
      </c>
      <c r="I48" s="59" t="s">
        <v>187</v>
      </c>
      <c r="J48" s="59" t="s">
        <v>188</v>
      </c>
      <c r="K48" s="59" t="s">
        <v>189</v>
      </c>
      <c r="L48" s="59" t="s">
        <v>190</v>
      </c>
      <c r="M48" s="59" t="s">
        <v>191</v>
      </c>
      <c r="N48" s="58" t="s">
        <v>165</v>
      </c>
      <c r="O48" s="58" t="s">
        <v>192</v>
      </c>
      <c r="P48" s="60">
        <f>P47/(P$43+P$45+P$47+P$49)</f>
        <v>0.48815530576065147</v>
      </c>
    </row>
    <row r="49" spans="2:258" ht="31.35" customHeight="1" x14ac:dyDescent="0.25">
      <c r="B49" s="266" t="s">
        <v>95</v>
      </c>
      <c r="C49" s="52" t="s">
        <v>60</v>
      </c>
      <c r="D49" s="54">
        <v>559</v>
      </c>
      <c r="E49" s="54">
        <v>179</v>
      </c>
      <c r="F49" s="69" t="s">
        <v>193</v>
      </c>
      <c r="G49" s="54">
        <v>39</v>
      </c>
      <c r="H49" s="69" t="s">
        <v>194</v>
      </c>
      <c r="I49" s="55">
        <v>47</v>
      </c>
      <c r="J49" s="70" t="s">
        <v>195</v>
      </c>
      <c r="K49" s="55">
        <v>6</v>
      </c>
      <c r="L49" s="70" t="s">
        <v>196</v>
      </c>
      <c r="M49" s="70" t="s">
        <v>197</v>
      </c>
      <c r="N49" s="69" t="s">
        <v>197</v>
      </c>
      <c r="O49" s="69" t="s">
        <v>198</v>
      </c>
      <c r="P49" s="56">
        <f>SUM(D49:O49)</f>
        <v>830</v>
      </c>
    </row>
    <row r="50" spans="2:258" ht="44.85" customHeight="1" x14ac:dyDescent="0.25">
      <c r="B50" s="266"/>
      <c r="C50" s="61" t="s">
        <v>61</v>
      </c>
      <c r="D50" s="63" t="s">
        <v>199</v>
      </c>
      <c r="E50" s="63" t="s">
        <v>200</v>
      </c>
      <c r="F50" s="63" t="s">
        <v>201</v>
      </c>
      <c r="G50" s="58" t="s">
        <v>202</v>
      </c>
      <c r="H50" s="63" t="s">
        <v>203</v>
      </c>
      <c r="I50" s="59" t="s">
        <v>204</v>
      </c>
      <c r="J50" s="64" t="s">
        <v>205</v>
      </c>
      <c r="K50" s="71">
        <v>8.9999999999999998E-4</v>
      </c>
      <c r="L50" s="64" t="s">
        <v>206</v>
      </c>
      <c r="M50" s="64" t="s">
        <v>207</v>
      </c>
      <c r="N50" s="63" t="s">
        <v>208</v>
      </c>
      <c r="O50" s="63" t="s">
        <v>209</v>
      </c>
      <c r="P50" s="66">
        <f>P49/(P$43+P$45+P$47+P$49)</f>
        <v>8.0847830745553375E-3</v>
      </c>
    </row>
    <row r="51" spans="2:258" ht="43.15" customHeight="1" x14ac:dyDescent="0.25">
      <c r="B51" s="253" t="s">
        <v>107</v>
      </c>
      <c r="C51" s="253"/>
      <c r="D51" s="25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2:258" ht="44.85" customHeight="1" x14ac:dyDescent="0.25">
      <c r="B52" s="272" t="s">
        <v>108</v>
      </c>
      <c r="C52" s="52" t="s">
        <v>60</v>
      </c>
      <c r="D52" s="54">
        <v>5117</v>
      </c>
      <c r="E52" s="54">
        <v>3567</v>
      </c>
      <c r="F52" s="54">
        <v>2763</v>
      </c>
      <c r="G52" s="54">
        <v>2327</v>
      </c>
      <c r="H52" s="54">
        <v>2430</v>
      </c>
      <c r="I52" s="55">
        <v>1936</v>
      </c>
      <c r="J52" s="55">
        <v>2896</v>
      </c>
      <c r="K52" s="99">
        <v>1756</v>
      </c>
      <c r="L52" s="99">
        <v>1695</v>
      </c>
      <c r="M52" s="55">
        <v>1775</v>
      </c>
      <c r="N52" s="54">
        <v>2252</v>
      </c>
      <c r="O52" s="54">
        <v>2643</v>
      </c>
      <c r="P52" s="56">
        <f>SUM(D52:O52)</f>
        <v>31157</v>
      </c>
    </row>
    <row r="53" spans="2:258" ht="32.25" customHeight="1" x14ac:dyDescent="0.25">
      <c r="B53" s="272"/>
      <c r="C53" s="57" t="s">
        <v>61</v>
      </c>
      <c r="D53" s="58" t="s">
        <v>210</v>
      </c>
      <c r="E53" s="58" t="s">
        <v>211</v>
      </c>
      <c r="F53" s="58" t="s">
        <v>212</v>
      </c>
      <c r="G53" s="58" t="s">
        <v>213</v>
      </c>
      <c r="H53" s="58" t="s">
        <v>214</v>
      </c>
      <c r="I53" s="59" t="s">
        <v>215</v>
      </c>
      <c r="J53" s="59" t="s">
        <v>216</v>
      </c>
      <c r="K53" s="71">
        <v>0.27760000000000001</v>
      </c>
      <c r="L53" s="59" t="s">
        <v>217</v>
      </c>
      <c r="M53" s="59" t="s">
        <v>218</v>
      </c>
      <c r="N53" s="58" t="s">
        <v>219</v>
      </c>
      <c r="O53" s="58" t="s">
        <v>220</v>
      </c>
      <c r="P53" s="60">
        <f>P52/(P$52+P$54+P$56)</f>
        <v>0.30952712100139085</v>
      </c>
    </row>
    <row r="54" spans="2:258" ht="44.85" customHeight="1" x14ac:dyDescent="0.25">
      <c r="B54" s="273" t="s">
        <v>118</v>
      </c>
      <c r="C54" s="52" t="s">
        <v>60</v>
      </c>
      <c r="D54" s="54">
        <v>14936</v>
      </c>
      <c r="E54" s="54">
        <v>7913</v>
      </c>
      <c r="F54" s="54">
        <v>5004</v>
      </c>
      <c r="G54" s="54">
        <v>4308</v>
      </c>
      <c r="H54" s="54">
        <v>3336</v>
      </c>
      <c r="I54" s="55">
        <v>3299</v>
      </c>
      <c r="J54" s="55">
        <v>9289</v>
      </c>
      <c r="K54" s="100">
        <v>4502</v>
      </c>
      <c r="L54" s="55">
        <v>2490</v>
      </c>
      <c r="M54" s="55">
        <v>2040</v>
      </c>
      <c r="N54" s="54">
        <v>3126</v>
      </c>
      <c r="O54" s="54">
        <v>8365</v>
      </c>
      <c r="P54" s="56">
        <f>SUM(D54:O54)</f>
        <v>68608</v>
      </c>
    </row>
    <row r="55" spans="2:258" ht="26.1" customHeight="1" x14ac:dyDescent="0.25">
      <c r="B55" s="273"/>
      <c r="C55" s="61" t="s">
        <v>61</v>
      </c>
      <c r="D55" s="63" t="s">
        <v>221</v>
      </c>
      <c r="E55" s="63" t="s">
        <v>222</v>
      </c>
      <c r="F55" s="63" t="s">
        <v>223</v>
      </c>
      <c r="G55" s="58" t="s">
        <v>224</v>
      </c>
      <c r="H55" s="63" t="s">
        <v>225</v>
      </c>
      <c r="I55" s="59" t="s">
        <v>226</v>
      </c>
      <c r="J55" s="64" t="s">
        <v>227</v>
      </c>
      <c r="K55" s="71">
        <v>0.71179999999999999</v>
      </c>
      <c r="L55" s="64" t="s">
        <v>228</v>
      </c>
      <c r="M55" s="64" t="s">
        <v>229</v>
      </c>
      <c r="N55" s="63" t="s">
        <v>230</v>
      </c>
      <c r="O55" s="63" t="s">
        <v>231</v>
      </c>
      <c r="P55" s="66">
        <f>P54/(P$52+P$54+P$56)</f>
        <v>0.68158156169282735</v>
      </c>
    </row>
    <row r="56" spans="2:258" ht="44.85" customHeight="1" x14ac:dyDescent="0.25">
      <c r="B56" s="274" t="s">
        <v>128</v>
      </c>
      <c r="C56" s="57" t="s">
        <v>60</v>
      </c>
      <c r="D56" s="11">
        <v>355</v>
      </c>
      <c r="E56" s="54">
        <v>193</v>
      </c>
      <c r="F56" s="54">
        <v>109</v>
      </c>
      <c r="G56" s="54">
        <v>106</v>
      </c>
      <c r="H56" s="58" t="s">
        <v>232</v>
      </c>
      <c r="I56" s="55">
        <v>65</v>
      </c>
      <c r="J56" s="59" t="s">
        <v>233</v>
      </c>
      <c r="K56" s="55">
        <v>67</v>
      </c>
      <c r="L56" s="59" t="s">
        <v>234</v>
      </c>
      <c r="M56" s="59" t="s">
        <v>235</v>
      </c>
      <c r="N56" s="58" t="s">
        <v>236</v>
      </c>
      <c r="O56" s="58" t="s">
        <v>237</v>
      </c>
      <c r="P56" s="68">
        <f>SUM(D56:O56)</f>
        <v>895</v>
      </c>
    </row>
    <row r="57" spans="2:258" ht="49.35" customHeight="1" x14ac:dyDescent="0.25">
      <c r="B57" s="274"/>
      <c r="C57" s="61" t="s">
        <v>61</v>
      </c>
      <c r="D57" s="63" t="s">
        <v>238</v>
      </c>
      <c r="E57" s="63" t="s">
        <v>239</v>
      </c>
      <c r="F57" s="63" t="s">
        <v>240</v>
      </c>
      <c r="G57" s="63" t="s">
        <v>241</v>
      </c>
      <c r="H57" s="63" t="s">
        <v>242</v>
      </c>
      <c r="I57" s="64" t="s">
        <v>243</v>
      </c>
      <c r="J57" s="64" t="s">
        <v>244</v>
      </c>
      <c r="K57" s="64" t="s">
        <v>245</v>
      </c>
      <c r="L57" s="64" t="s">
        <v>246</v>
      </c>
      <c r="M57" s="64" t="s">
        <v>247</v>
      </c>
      <c r="N57" s="63" t="s">
        <v>248</v>
      </c>
      <c r="O57" s="63" t="s">
        <v>249</v>
      </c>
      <c r="P57" s="66">
        <f>P56/(P$52+P$54+P$56)</f>
        <v>8.8913173057818401E-3</v>
      </c>
    </row>
    <row r="58" spans="2:258" ht="44.65" customHeight="1" x14ac:dyDescent="0.25">
      <c r="B58" s="72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258" s="74" customFormat="1" ht="17.25" customHeight="1" x14ac:dyDescent="0.25">
      <c r="B59" s="275" t="s">
        <v>142</v>
      </c>
      <c r="C59" s="2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  <c r="IX59" s="77"/>
    </row>
    <row r="60" spans="2:258" s="74" customFormat="1" ht="16.149999999999999" customHeight="1" x14ac:dyDescent="0.25">
      <c r="B60" s="276" t="s">
        <v>142</v>
      </c>
      <c r="C60" s="2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  <c r="IW60" s="77"/>
      <c r="IX60" s="77"/>
    </row>
    <row r="61" spans="2:258" s="74" customFormat="1" ht="20.65" customHeight="1" x14ac:dyDescent="0.25">
      <c r="B61" s="78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  <c r="IW61" s="77"/>
      <c r="IX61" s="77"/>
    </row>
    <row r="62" spans="2:258" s="74" customFormat="1" ht="13.9" customHeight="1" x14ac:dyDescent="0.25">
      <c r="B62" s="277" t="s">
        <v>143</v>
      </c>
      <c r="C62" s="277"/>
      <c r="D62" s="277"/>
      <c r="E62" s="277"/>
      <c r="F62" s="277"/>
      <c r="G62" s="277"/>
      <c r="H62" s="277"/>
      <c r="I62" s="277"/>
      <c r="J62" s="79"/>
      <c r="K62" s="79"/>
      <c r="L62" s="79"/>
      <c r="M62" s="79"/>
      <c r="N62" s="79"/>
      <c r="O62" s="79"/>
      <c r="P62" s="79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</row>
    <row r="63" spans="2:258" s="74" customFormat="1" ht="18.399999999999999" customHeight="1" x14ac:dyDescent="0.25">
      <c r="B63" s="270" t="s">
        <v>144</v>
      </c>
      <c r="C63" s="270"/>
      <c r="D63" s="270"/>
      <c r="E63" s="270"/>
      <c r="F63" s="270"/>
      <c r="G63" s="270"/>
      <c r="H63" s="270"/>
      <c r="I63" s="270"/>
      <c r="J63" s="79"/>
      <c r="K63" s="79"/>
      <c r="L63" s="79"/>
      <c r="M63" s="79"/>
      <c r="N63" s="79"/>
      <c r="O63" s="79"/>
      <c r="P63" s="79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  <c r="IW63" s="77"/>
      <c r="IX63" s="77"/>
    </row>
    <row r="64" spans="2:258" s="74" customFormat="1" ht="18.399999999999999" customHeight="1" x14ac:dyDescent="0.25">
      <c r="B64" s="80"/>
      <c r="C64" s="81"/>
      <c r="D64" s="81"/>
      <c r="E64" s="81"/>
      <c r="F64" s="81"/>
      <c r="G64" s="81"/>
      <c r="H64" s="81"/>
      <c r="I64" s="81"/>
      <c r="J64" s="79"/>
      <c r="K64" s="79"/>
      <c r="L64" s="79"/>
      <c r="M64" s="79"/>
      <c r="N64" s="79"/>
      <c r="O64" s="79"/>
      <c r="P64" s="79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</row>
    <row r="65" spans="2:258" s="74" customFormat="1" ht="27.2" customHeight="1" x14ac:dyDescent="0.25">
      <c r="B65" s="278" t="s">
        <v>575</v>
      </c>
      <c r="C65" s="278"/>
      <c r="D65" s="278"/>
      <c r="E65" s="278"/>
      <c r="F65" s="278"/>
      <c r="G65" s="278"/>
      <c r="H65" s="81"/>
      <c r="I65" s="81"/>
      <c r="J65" s="79"/>
      <c r="K65" s="79"/>
      <c r="L65" s="79"/>
      <c r="M65" s="79"/>
      <c r="N65" s="79"/>
      <c r="O65" s="79"/>
      <c r="P65" s="79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  <c r="IW65" s="77"/>
      <c r="IX65" s="77"/>
    </row>
    <row r="66" spans="2:258" s="74" customFormat="1" ht="25.15" customHeight="1" x14ac:dyDescent="0.25">
      <c r="B66" s="270" t="s">
        <v>576</v>
      </c>
      <c r="C66" s="270"/>
      <c r="D66" s="270"/>
      <c r="E66" s="270"/>
      <c r="F66" s="270"/>
      <c r="G66" s="270"/>
      <c r="H66" s="81"/>
      <c r="I66" s="81"/>
      <c r="J66" s="79"/>
      <c r="K66" s="79"/>
      <c r="L66" s="79"/>
      <c r="M66" s="79"/>
      <c r="N66" s="79"/>
      <c r="O66" s="79"/>
      <c r="P66" s="79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</row>
    <row r="67" spans="2:258" s="74" customFormat="1" ht="25.15" customHeight="1" x14ac:dyDescent="0.25">
      <c r="B67" s="80"/>
      <c r="C67" s="81"/>
      <c r="D67" s="81"/>
      <c r="E67" s="81"/>
      <c r="F67" s="81"/>
      <c r="G67" s="81"/>
      <c r="H67" s="81"/>
      <c r="I67" s="81"/>
      <c r="J67" s="79"/>
      <c r="K67" s="79"/>
      <c r="L67" s="79"/>
      <c r="M67" s="79"/>
      <c r="N67" s="79"/>
      <c r="O67" s="79"/>
      <c r="P67" s="79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  <c r="IW67" s="77"/>
      <c r="IX67" s="77"/>
    </row>
    <row r="68" spans="2:258" s="74" customFormat="1" ht="11.45" customHeight="1" x14ac:dyDescent="0.25">
      <c r="B68" s="277" t="s">
        <v>145</v>
      </c>
      <c r="C68" s="277"/>
      <c r="D68" s="277"/>
      <c r="E68" s="277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  <c r="IW68" s="77"/>
      <c r="IX68" s="77"/>
    </row>
    <row r="69" spans="2:258" s="74" customFormat="1" ht="16.149999999999999" customHeight="1" x14ac:dyDescent="0.25">
      <c r="B69" s="270" t="s">
        <v>146</v>
      </c>
      <c r="C69" s="270"/>
      <c r="D69" s="270"/>
      <c r="E69" s="270"/>
      <c r="F69" s="270"/>
      <c r="G69" s="270"/>
      <c r="H69" s="79"/>
      <c r="I69" s="79"/>
      <c r="J69" s="79"/>
      <c r="K69" s="79"/>
      <c r="L69" s="79"/>
      <c r="M69" s="79"/>
      <c r="N69" s="79"/>
      <c r="O69" s="79"/>
      <c r="P69" s="79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  <c r="IW69" s="77"/>
      <c r="IX69" s="77"/>
    </row>
    <row r="70" spans="2:258" s="74" customFormat="1" ht="16.149999999999999" customHeight="1" x14ac:dyDescent="0.25">
      <c r="B70" s="80"/>
      <c r="C70" s="81"/>
      <c r="D70" s="81"/>
      <c r="E70" s="81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  <c r="IW70" s="77"/>
      <c r="IX70" s="77"/>
    </row>
    <row r="71" spans="2:258" s="74" customFormat="1" ht="14.85" customHeight="1" x14ac:dyDescent="0.25">
      <c r="B71" s="277" t="s">
        <v>578</v>
      </c>
      <c r="C71" s="277"/>
      <c r="D71" s="277"/>
      <c r="E71" s="277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  <c r="IW71" s="77"/>
      <c r="IX71" s="77"/>
    </row>
    <row r="72" spans="2:258" s="74" customFormat="1" ht="19.5" customHeight="1" x14ac:dyDescent="0.25">
      <c r="B72" s="279" t="s">
        <v>579</v>
      </c>
      <c r="C72" s="279"/>
      <c r="D72" s="279"/>
      <c r="E72" s="2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  <c r="IW72" s="77"/>
      <c r="IX72" s="77"/>
    </row>
    <row r="73" spans="2:258" s="74" customFormat="1" ht="25.15" customHeight="1" x14ac:dyDescent="0.25">
      <c r="B73" s="82"/>
      <c r="C73" s="81"/>
      <c r="D73" s="81"/>
      <c r="E73" s="81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  <c r="IW73" s="77"/>
      <c r="IX73" s="77"/>
    </row>
    <row r="74" spans="2:258" s="74" customFormat="1" ht="13.9" customHeight="1" x14ac:dyDescent="0.25">
      <c r="B74" s="277" t="s">
        <v>147</v>
      </c>
      <c r="C74" s="277"/>
      <c r="D74" s="277"/>
      <c r="E74" s="277"/>
      <c r="F74" s="77"/>
      <c r="G74" s="77"/>
      <c r="H74" s="77"/>
      <c r="I74" s="77"/>
      <c r="J74" s="77"/>
      <c r="K74" s="77"/>
      <c r="L74" s="77"/>
      <c r="M74" s="83"/>
      <c r="N74" s="83"/>
      <c r="O74" s="83"/>
      <c r="P74" s="83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  <c r="IW74" s="77"/>
      <c r="IX74" s="77"/>
    </row>
    <row r="75" spans="2:258" s="74" customFormat="1" ht="16.149999999999999" customHeight="1" x14ac:dyDescent="0.25">
      <c r="B75" s="84" t="s">
        <v>148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83"/>
      <c r="N75" s="83"/>
      <c r="O75" s="83"/>
      <c r="P75" s="83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  <c r="IW75" s="77"/>
      <c r="IX75" s="77"/>
    </row>
    <row r="76" spans="2:258" s="74" customFormat="1" ht="29.85" customHeight="1" x14ac:dyDescent="0.25">
      <c r="B76" s="77"/>
      <c r="C76" s="77"/>
      <c r="D76" s="77"/>
      <c r="E76" s="77"/>
      <c r="F76" s="77"/>
      <c r="G76" s="77"/>
      <c r="H76" s="85"/>
      <c r="I76" s="85"/>
      <c r="J76" s="86"/>
      <c r="K76" s="86"/>
      <c r="L76" s="86"/>
      <c r="M76" s="83"/>
      <c r="N76" s="83"/>
      <c r="O76" s="83"/>
      <c r="P76" s="83"/>
      <c r="Q76" s="8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  <c r="IW76" s="77"/>
      <c r="IX76" s="77"/>
    </row>
    <row r="77" spans="2:258" s="74" customFormat="1" ht="17.649999999999999" customHeight="1" x14ac:dyDescent="0.25">
      <c r="B77" s="77" t="s">
        <v>149</v>
      </c>
      <c r="C77" s="77"/>
      <c r="D77" s="77"/>
      <c r="E77" s="77"/>
      <c r="F77" s="77"/>
      <c r="G77" s="77"/>
      <c r="H77" s="85"/>
      <c r="I77" s="85"/>
      <c r="J77" s="86"/>
      <c r="K77" s="86"/>
      <c r="L77" s="86"/>
      <c r="M77" s="83"/>
      <c r="N77" s="83"/>
      <c r="O77" s="83"/>
      <c r="P77" s="83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  <c r="IW77" s="77"/>
      <c r="IX77" s="77"/>
    </row>
    <row r="78" spans="2:258" s="74" customFormat="1" ht="13.15" customHeight="1" x14ac:dyDescent="0.25">
      <c r="B78" s="77" t="s">
        <v>150</v>
      </c>
      <c r="C78" s="88"/>
      <c r="D78" s="77"/>
      <c r="E78" s="77"/>
      <c r="F78" s="77"/>
      <c r="G78" s="77"/>
      <c r="H78" s="89"/>
      <c r="I78" s="89"/>
      <c r="J78" s="86"/>
      <c r="K78" s="86"/>
      <c r="L78" s="86"/>
      <c r="M78" s="86"/>
      <c r="N78" s="86"/>
      <c r="O78" s="86"/>
      <c r="P78" s="86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  <c r="IW78" s="77"/>
      <c r="IX78" s="77"/>
    </row>
    <row r="79" spans="2:258" s="74" customFormat="1" ht="18.399999999999999" customHeight="1" x14ac:dyDescent="0.25">
      <c r="B79" s="77"/>
      <c r="C79" s="77"/>
      <c r="D79" s="77"/>
      <c r="E79" s="77"/>
      <c r="F79" s="77"/>
      <c r="G79" s="77"/>
      <c r="H79" s="89"/>
      <c r="I79" s="89"/>
      <c r="J79" s="86"/>
      <c r="K79" s="86"/>
      <c r="L79" s="86"/>
      <c r="M79" s="86"/>
      <c r="N79" s="86"/>
      <c r="O79" s="86"/>
      <c r="P79" s="86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</row>
    <row r="80" spans="2:258" s="74" customFormat="1" ht="25.15" customHeight="1" x14ac:dyDescent="0.25">
      <c r="B80" s="90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  <c r="IW80" s="77"/>
      <c r="IX80" s="77"/>
    </row>
    <row r="81" spans="1:258" s="74" customFormat="1" ht="17.25" customHeight="1" x14ac:dyDescent="0.2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  <c r="IW81" s="77"/>
      <c r="IX81" s="77"/>
    </row>
    <row r="82" spans="1:258" s="92" customFormat="1" ht="47.65" customHeight="1" x14ac:dyDescent="0.25">
      <c r="A82" s="74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</row>
    <row r="83" spans="1:258" ht="33.950000000000003" customHeight="1" x14ac:dyDescent="0.25">
      <c r="B83"/>
      <c r="Q83" s="93"/>
    </row>
    <row r="84" spans="1:258" ht="19.350000000000001" customHeight="1" x14ac:dyDescent="0.25">
      <c r="B84"/>
    </row>
    <row r="87" spans="1:258" x14ac:dyDescent="0.25">
      <c r="A87" s="94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  <c r="IV87" s="95"/>
      <c r="IW87" s="95"/>
      <c r="IX87" s="95"/>
    </row>
    <row r="88" spans="1:258" x14ac:dyDescent="0.25">
      <c r="A88" s="94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  <c r="IV88" s="95"/>
      <c r="IW88" s="95"/>
      <c r="IX88" s="95"/>
    </row>
    <row r="89" spans="1:258" x14ac:dyDescent="0.25"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  <c r="IV89" s="95"/>
      <c r="IW89" s="95"/>
      <c r="IX89" s="95"/>
    </row>
    <row r="90" spans="1:258" x14ac:dyDescent="0.25"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  <c r="IV90" s="95"/>
      <c r="IW90" s="95"/>
      <c r="IX90" s="95"/>
    </row>
    <row r="91" spans="1:258" x14ac:dyDescent="0.25"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  <c r="IV91" s="95"/>
      <c r="IW91" s="95"/>
      <c r="IX91" s="95"/>
    </row>
    <row r="92" spans="1:258" x14ac:dyDescent="0.25"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  <c r="IV92" s="95"/>
      <c r="IW92" s="95"/>
      <c r="IX92" s="95"/>
    </row>
    <row r="93" spans="1:258" x14ac:dyDescent="0.25"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  <c r="IV93" s="95"/>
      <c r="IW93" s="95"/>
      <c r="IX93" s="95"/>
    </row>
    <row r="94" spans="1:258" x14ac:dyDescent="0.25"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  <c r="IV94" s="95"/>
      <c r="IW94" s="95"/>
      <c r="IX94" s="95"/>
    </row>
    <row r="95" spans="1:258" x14ac:dyDescent="0.25">
      <c r="Q95" s="96"/>
    </row>
    <row r="96" spans="1:258" x14ac:dyDescent="0.25">
      <c r="Q96" s="96"/>
    </row>
    <row r="97" spans="17:17" ht="30" customHeight="1" x14ac:dyDescent="0.25">
      <c r="Q97" s="96"/>
    </row>
    <row r="98" spans="17:17" ht="31.5" customHeight="1" x14ac:dyDescent="0.25">
      <c r="Q98" s="96"/>
    </row>
    <row r="99" spans="17:17" ht="30" customHeight="1" x14ac:dyDescent="0.25"/>
    <row r="100" spans="17:17" ht="30" customHeight="1" x14ac:dyDescent="0.25"/>
    <row r="1048576" ht="12.75" customHeight="1" x14ac:dyDescent="0.25"/>
  </sheetData>
  <mergeCells count="53">
    <mergeCell ref="B4:P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P25"/>
    <mergeCell ref="B26:B27"/>
    <mergeCell ref="B28:B29"/>
    <mergeCell ref="B30:B31"/>
    <mergeCell ref="B32:B33"/>
    <mergeCell ref="B34:B35"/>
    <mergeCell ref="B36:D36"/>
    <mergeCell ref="B37:C37"/>
    <mergeCell ref="B38:C38"/>
    <mergeCell ref="B39:C39"/>
    <mergeCell ref="B40:C40"/>
    <mergeCell ref="B41:C41"/>
    <mergeCell ref="B42:D42"/>
    <mergeCell ref="B43:B44"/>
    <mergeCell ref="B45:B46"/>
    <mergeCell ref="B47:B48"/>
    <mergeCell ref="B49:B50"/>
    <mergeCell ref="B51:D51"/>
    <mergeCell ref="B52:B53"/>
    <mergeCell ref="B54:B55"/>
    <mergeCell ref="B56:B57"/>
    <mergeCell ref="B59:C59"/>
    <mergeCell ref="B60:C60"/>
    <mergeCell ref="B62:I62"/>
    <mergeCell ref="B71:E71"/>
    <mergeCell ref="B72:E72"/>
    <mergeCell ref="B74:E74"/>
    <mergeCell ref="B63:I63"/>
    <mergeCell ref="B65:G65"/>
    <mergeCell ref="B66:G66"/>
    <mergeCell ref="B68:E68"/>
    <mergeCell ref="B69:G69"/>
  </mergeCells>
  <printOptions horizontalCentered="1"/>
  <pageMargins left="0.196527777777778" right="0.196527777777778" top="0.39374999999999999" bottom="0.63124999999999998" header="0.511811023622047" footer="0.39374999999999999"/>
  <pageSetup scale="44" orientation="landscape" horizontalDpi="300" verticalDpi="300"/>
  <headerFooter>
    <oddFooter>&amp;C&amp;"Arial,Normal"&amp;10&amp;P / &amp;N</oddFooter>
  </headerFooter>
  <rowBreaks count="2" manualBreakCount="2">
    <brk id="35" max="16383" man="1"/>
    <brk id="56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B6B"/>
  </sheetPr>
  <dimension ref="A1:IX1048576"/>
  <sheetViews>
    <sheetView topLeftCell="A2" zoomScale="69" zoomScaleNormal="69" workbookViewId="0">
      <selection activeCell="D52" sqref="D52"/>
    </sheetView>
  </sheetViews>
  <sheetFormatPr baseColWidth="10" defaultColWidth="8.7109375" defaultRowHeight="15" x14ac:dyDescent="0.25"/>
  <cols>
    <col min="1" max="1" width="2.5703125" customWidth="1"/>
    <col min="2" max="2" width="17.7109375" style="1" customWidth="1"/>
    <col min="3" max="3" width="18" style="1" customWidth="1"/>
    <col min="4" max="10" width="20.85546875" style="1" customWidth="1"/>
    <col min="11" max="12" width="17.28515625" style="1" customWidth="1"/>
    <col min="13" max="13" width="17.140625" style="1" customWidth="1"/>
    <col min="14" max="14" width="17.28515625" style="1" customWidth="1"/>
    <col min="15" max="15" width="18.28515625" style="1" customWidth="1"/>
    <col min="16" max="16" width="20.7109375" style="1" customWidth="1"/>
    <col min="17" max="258" width="8.7109375" style="1"/>
  </cols>
  <sheetData>
    <row r="1" spans="2:16" ht="12.75" hidden="1" customHeight="1" x14ac:dyDescent="0.25">
      <c r="B1" s="2"/>
      <c r="C1" s="2"/>
    </row>
    <row r="2" spans="2:16" ht="11.65" customHeight="1" x14ac:dyDescent="0.25">
      <c r="B2" s="2"/>
      <c r="C2" s="2"/>
    </row>
    <row r="3" spans="2:16" ht="83.1" customHeight="1" x14ac:dyDescent="0.25">
      <c r="B3" s="2"/>
      <c r="C3" s="2"/>
      <c r="D3" s="1" t="s">
        <v>0</v>
      </c>
    </row>
    <row r="4" spans="2:16" ht="60.2" customHeight="1" x14ac:dyDescent="0.25">
      <c r="B4" s="251" t="s">
        <v>250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</row>
    <row r="5" spans="2:16" ht="75.75" customHeight="1" x14ac:dyDescent="0.25">
      <c r="B5" s="252"/>
      <c r="C5" s="252"/>
      <c r="D5" s="3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101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2:16" ht="30" customHeight="1" x14ac:dyDescent="0.25">
      <c r="B6" s="253" t="s">
        <v>251</v>
      </c>
      <c r="C6" s="253"/>
      <c r="D6" s="25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44.85" customHeight="1" x14ac:dyDescent="0.25">
      <c r="B7" s="252" t="s">
        <v>252</v>
      </c>
      <c r="C7" s="252"/>
      <c r="D7" s="11">
        <v>1304</v>
      </c>
      <c r="E7" s="11">
        <v>1467</v>
      </c>
      <c r="F7" s="45">
        <v>1377</v>
      </c>
      <c r="G7" s="45">
        <v>15609</v>
      </c>
      <c r="H7" s="45">
        <v>31948</v>
      </c>
      <c r="I7" s="45">
        <v>9945</v>
      </c>
      <c r="J7" s="45">
        <v>7402</v>
      </c>
      <c r="K7" s="45">
        <v>11482</v>
      </c>
      <c r="L7" s="45">
        <v>9730</v>
      </c>
      <c r="M7" s="45">
        <v>10281</v>
      </c>
      <c r="N7" s="45">
        <v>13051</v>
      </c>
      <c r="O7" s="45">
        <v>10811</v>
      </c>
      <c r="P7" s="10">
        <f>SUM(D7:O7)</f>
        <v>124407</v>
      </c>
    </row>
    <row r="8" spans="2:16" ht="44.85" customHeight="1" x14ac:dyDescent="0.25">
      <c r="B8" s="285" t="s">
        <v>253</v>
      </c>
      <c r="C8" s="285"/>
      <c r="D8" s="11">
        <v>1027</v>
      </c>
      <c r="E8" s="11">
        <v>1082</v>
      </c>
      <c r="F8" s="11">
        <v>956</v>
      </c>
      <c r="G8" s="11">
        <v>11468</v>
      </c>
      <c r="H8" s="11">
        <v>21101</v>
      </c>
      <c r="I8" s="11">
        <v>6664</v>
      </c>
      <c r="J8" s="11">
        <v>4615</v>
      </c>
      <c r="K8" s="11">
        <v>7332</v>
      </c>
      <c r="L8" s="11">
        <v>5781</v>
      </c>
      <c r="M8" s="11">
        <v>6332</v>
      </c>
      <c r="N8" s="11">
        <v>7973</v>
      </c>
      <c r="O8" s="11">
        <v>6593</v>
      </c>
      <c r="P8" s="12">
        <f>SUM(D8:O8)</f>
        <v>80924</v>
      </c>
    </row>
    <row r="9" spans="2:16" ht="44.85" customHeight="1" x14ac:dyDescent="0.25">
      <c r="B9" s="283" t="s">
        <v>254</v>
      </c>
      <c r="C9" s="283"/>
      <c r="D9" s="11">
        <v>4886</v>
      </c>
      <c r="E9" s="11">
        <v>7931</v>
      </c>
      <c r="F9" s="11">
        <v>7862</v>
      </c>
      <c r="G9" s="11">
        <v>71002</v>
      </c>
      <c r="H9" s="11">
        <v>161664</v>
      </c>
      <c r="I9" s="11">
        <v>54078</v>
      </c>
      <c r="J9" s="11">
        <v>38502</v>
      </c>
      <c r="K9" s="11">
        <v>52760</v>
      </c>
      <c r="L9" s="11">
        <v>46603</v>
      </c>
      <c r="M9" s="11">
        <v>49735</v>
      </c>
      <c r="N9" s="11">
        <v>58993</v>
      </c>
      <c r="O9" s="11">
        <v>43732</v>
      </c>
      <c r="P9" s="12">
        <f>SUM(D9:O9)</f>
        <v>597748</v>
      </c>
    </row>
    <row r="10" spans="2:16" ht="44.85" customHeight="1" x14ac:dyDescent="0.25">
      <c r="B10" s="283" t="s">
        <v>255</v>
      </c>
      <c r="C10" s="283"/>
      <c r="D10" s="16">
        <v>3.75</v>
      </c>
      <c r="E10" s="16">
        <v>5.41</v>
      </c>
      <c r="F10" s="17">
        <v>5.71</v>
      </c>
      <c r="G10" s="17">
        <v>4.5999999999999996</v>
      </c>
      <c r="H10" s="17">
        <v>5.0599999999999996</v>
      </c>
      <c r="I10" s="17">
        <v>5.44</v>
      </c>
      <c r="J10" s="17">
        <v>5.2</v>
      </c>
      <c r="K10" s="17">
        <v>4.5999999999999996</v>
      </c>
      <c r="L10" s="17">
        <v>4.79</v>
      </c>
      <c r="M10" s="17">
        <v>4.84</v>
      </c>
      <c r="N10" s="17">
        <v>4.5199999999999996</v>
      </c>
      <c r="O10" s="17">
        <v>4.05</v>
      </c>
      <c r="P10" s="15">
        <f>AVERAGE(D10:O10)</f>
        <v>4.8308333333333335</v>
      </c>
    </row>
    <row r="11" spans="2:16" ht="44.85" customHeight="1" x14ac:dyDescent="0.25">
      <c r="B11" s="283" t="s">
        <v>256</v>
      </c>
      <c r="C11" s="283"/>
      <c r="D11" s="20">
        <v>1.8171296296296299E-3</v>
      </c>
      <c r="E11" s="20">
        <v>2.8356481481481501E-3</v>
      </c>
      <c r="F11" s="20">
        <v>2.48842592592593E-3</v>
      </c>
      <c r="G11" s="20">
        <v>1.88657407407407E-3</v>
      </c>
      <c r="H11" s="20">
        <v>2.0138888888888901E-3</v>
      </c>
      <c r="I11" s="20">
        <v>2.10648148148148E-3</v>
      </c>
      <c r="J11" s="20">
        <v>2.2337962962963001E-3</v>
      </c>
      <c r="K11" s="20">
        <v>1.86342592592593E-3</v>
      </c>
      <c r="L11" s="20">
        <v>2.0370370370370399E-3</v>
      </c>
      <c r="M11" s="20">
        <v>2.0717592592592602E-3</v>
      </c>
      <c r="N11" s="20">
        <v>2.0023148148148101E-3</v>
      </c>
      <c r="O11" s="20">
        <v>1.8171296296296299E-3</v>
      </c>
      <c r="P11" s="19">
        <f>AVERAGE(D11:O11)</f>
        <v>2.0978009259259266E-3</v>
      </c>
    </row>
    <row r="12" spans="2:16" ht="44.85" customHeight="1" x14ac:dyDescent="0.25">
      <c r="B12" s="283" t="s">
        <v>257</v>
      </c>
      <c r="C12" s="283"/>
      <c r="D12" s="24">
        <v>0.4118</v>
      </c>
      <c r="E12" s="24">
        <v>0.42259999999999998</v>
      </c>
      <c r="F12" s="25">
        <v>0.40160000000000001</v>
      </c>
      <c r="G12" s="25">
        <v>0.39269999999999999</v>
      </c>
      <c r="H12" s="25">
        <v>0.36159999999999998</v>
      </c>
      <c r="I12" s="25">
        <v>0.3846</v>
      </c>
      <c r="J12" s="25">
        <v>0.35670000000000002</v>
      </c>
      <c r="K12" s="25">
        <v>0.36609999999999998</v>
      </c>
      <c r="L12" s="25">
        <v>0.36059999999999998</v>
      </c>
      <c r="M12" s="25">
        <v>0.3674</v>
      </c>
      <c r="N12" s="25">
        <v>0.36890000000000001</v>
      </c>
      <c r="O12" s="25">
        <v>0.39900000000000002</v>
      </c>
      <c r="P12" s="23">
        <f>AVERAGE(D12:O12)</f>
        <v>0.38279999999999997</v>
      </c>
    </row>
    <row r="13" spans="2:16" ht="44.85" customHeight="1" x14ac:dyDescent="0.25">
      <c r="B13" s="284" t="s">
        <v>258</v>
      </c>
      <c r="C13" s="284"/>
      <c r="D13" s="11" t="s">
        <v>259</v>
      </c>
      <c r="E13" s="11" t="s">
        <v>259</v>
      </c>
      <c r="F13" s="11" t="s">
        <v>260</v>
      </c>
      <c r="G13" s="11">
        <v>3973</v>
      </c>
      <c r="H13" s="11">
        <v>17393</v>
      </c>
      <c r="I13" s="11">
        <v>5460</v>
      </c>
      <c r="J13" s="11">
        <v>3828</v>
      </c>
      <c r="K13" s="11">
        <v>6360</v>
      </c>
      <c r="L13" s="11">
        <v>4775</v>
      </c>
      <c r="M13" s="11">
        <v>5342</v>
      </c>
      <c r="N13" s="11">
        <v>6808</v>
      </c>
      <c r="O13" s="11">
        <v>5574</v>
      </c>
      <c r="P13" s="12">
        <f>SUM(D13:O13)</f>
        <v>59513</v>
      </c>
    </row>
    <row r="14" spans="2:16" ht="44.85" customHeight="1" x14ac:dyDescent="0.25">
      <c r="B14" s="281" t="s">
        <v>261</v>
      </c>
      <c r="C14" s="281"/>
      <c r="D14" s="32">
        <v>42384</v>
      </c>
      <c r="E14" s="32">
        <v>42416</v>
      </c>
      <c r="F14" s="32">
        <v>42438</v>
      </c>
      <c r="G14" s="32">
        <v>42475</v>
      </c>
      <c r="H14" s="31">
        <v>42517</v>
      </c>
      <c r="I14" s="31">
        <v>42549</v>
      </c>
      <c r="J14" s="31">
        <v>42581</v>
      </c>
      <c r="K14" s="31">
        <v>42592</v>
      </c>
      <c r="L14" s="31">
        <v>42613</v>
      </c>
      <c r="M14" s="31">
        <v>42669</v>
      </c>
      <c r="N14" s="31">
        <v>42683</v>
      </c>
      <c r="O14" s="31">
        <v>42732</v>
      </c>
      <c r="P14" s="27">
        <f>H14</f>
        <v>42517</v>
      </c>
    </row>
    <row r="15" spans="2:16" ht="73.349999999999994" customHeight="1" x14ac:dyDescent="0.25">
      <c r="B15" s="282" t="s">
        <v>262</v>
      </c>
      <c r="C15" s="282"/>
      <c r="D15" s="102">
        <v>81</v>
      </c>
      <c r="E15" s="102">
        <v>93</v>
      </c>
      <c r="F15" s="102">
        <v>93</v>
      </c>
      <c r="G15" s="102">
        <v>1312</v>
      </c>
      <c r="H15" s="33">
        <v>9072</v>
      </c>
      <c r="I15" s="11">
        <v>1096</v>
      </c>
      <c r="J15" s="33">
        <v>426</v>
      </c>
      <c r="K15" s="33">
        <v>698</v>
      </c>
      <c r="L15" s="33">
        <v>680</v>
      </c>
      <c r="M15" s="33">
        <v>761</v>
      </c>
      <c r="N15" s="33">
        <v>1039</v>
      </c>
      <c r="O15" s="33">
        <v>712</v>
      </c>
      <c r="P15" s="34">
        <f>H15</f>
        <v>9072</v>
      </c>
    </row>
    <row r="16" spans="2:16" ht="49.35" customHeight="1" x14ac:dyDescent="0.25">
      <c r="B16" s="253" t="s">
        <v>263</v>
      </c>
      <c r="C16" s="253"/>
      <c r="D16" s="25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2:16" ht="31.35" customHeight="1" x14ac:dyDescent="0.25">
      <c r="B17" s="265" t="s">
        <v>35</v>
      </c>
      <c r="C17" s="35" t="s">
        <v>36</v>
      </c>
      <c r="D17" s="37" t="s">
        <v>259</v>
      </c>
      <c r="E17" s="37" t="s">
        <v>259</v>
      </c>
      <c r="F17" s="37" t="s">
        <v>259</v>
      </c>
      <c r="G17" s="37" t="s">
        <v>259</v>
      </c>
      <c r="H17" s="37" t="s">
        <v>259</v>
      </c>
      <c r="I17" s="37" t="s">
        <v>259</v>
      </c>
      <c r="J17" s="37" t="s">
        <v>259</v>
      </c>
      <c r="K17" s="37" t="s">
        <v>259</v>
      </c>
      <c r="L17" s="37" t="s">
        <v>259</v>
      </c>
      <c r="M17" s="37" t="s">
        <v>259</v>
      </c>
      <c r="N17" s="37" t="s">
        <v>259</v>
      </c>
      <c r="O17" s="37" t="s">
        <v>259</v>
      </c>
      <c r="P17" s="103" t="s">
        <v>38</v>
      </c>
    </row>
    <row r="18" spans="2:16" ht="49.35" customHeight="1" x14ac:dyDescent="0.25">
      <c r="B18" s="265"/>
      <c r="C18" s="39" t="s">
        <v>39</v>
      </c>
      <c r="D18" s="40" t="s">
        <v>259</v>
      </c>
      <c r="E18" s="40" t="s">
        <v>259</v>
      </c>
      <c r="F18" s="40" t="s">
        <v>259</v>
      </c>
      <c r="G18" s="40" t="s">
        <v>259</v>
      </c>
      <c r="H18" s="40" t="s">
        <v>259</v>
      </c>
      <c r="I18" s="40" t="s">
        <v>259</v>
      </c>
      <c r="J18" s="40" t="s">
        <v>259</v>
      </c>
      <c r="K18" s="40" t="s">
        <v>259</v>
      </c>
      <c r="L18" s="40" t="s">
        <v>259</v>
      </c>
      <c r="M18" s="40" t="s">
        <v>259</v>
      </c>
      <c r="N18" s="40" t="s">
        <v>259</v>
      </c>
      <c r="O18" s="40" t="s">
        <v>259</v>
      </c>
      <c r="P18" s="104">
        <v>464618</v>
      </c>
    </row>
    <row r="19" spans="2:16" ht="49.35" customHeight="1" x14ac:dyDescent="0.25">
      <c r="B19" s="258" t="s">
        <v>40</v>
      </c>
      <c r="C19" s="35" t="s">
        <v>36</v>
      </c>
      <c r="D19" s="37" t="s">
        <v>260</v>
      </c>
      <c r="E19" s="37" t="s">
        <v>260</v>
      </c>
      <c r="F19" s="37" t="s">
        <v>260</v>
      </c>
      <c r="G19" s="37" t="s">
        <v>260</v>
      </c>
      <c r="H19" s="37" t="s">
        <v>260</v>
      </c>
      <c r="I19" s="37" t="s">
        <v>260</v>
      </c>
      <c r="J19" s="37" t="s">
        <v>260</v>
      </c>
      <c r="K19" s="37" t="s">
        <v>260</v>
      </c>
      <c r="L19" s="37" t="s">
        <v>260</v>
      </c>
      <c r="M19" s="37" t="s">
        <v>260</v>
      </c>
      <c r="N19" s="37" t="s">
        <v>260</v>
      </c>
      <c r="O19" s="37" t="s">
        <v>260</v>
      </c>
      <c r="P19" s="103" t="s">
        <v>154</v>
      </c>
    </row>
    <row r="20" spans="2:16" ht="49.35" customHeight="1" x14ac:dyDescent="0.25">
      <c r="B20" s="258"/>
      <c r="C20" s="42" t="s">
        <v>42</v>
      </c>
      <c r="D20" s="40" t="s">
        <v>260</v>
      </c>
      <c r="E20" s="40" t="s">
        <v>260</v>
      </c>
      <c r="F20" s="40" t="s">
        <v>260</v>
      </c>
      <c r="G20" s="40" t="s">
        <v>260</v>
      </c>
      <c r="H20" s="40" t="s">
        <v>260</v>
      </c>
      <c r="I20" s="40" t="s">
        <v>260</v>
      </c>
      <c r="J20" s="40" t="s">
        <v>260</v>
      </c>
      <c r="K20" s="40" t="s">
        <v>260</v>
      </c>
      <c r="L20" s="40" t="s">
        <v>260</v>
      </c>
      <c r="M20" s="40" t="s">
        <v>260</v>
      </c>
      <c r="N20" s="40" t="s">
        <v>260</v>
      </c>
      <c r="O20" s="40" t="s">
        <v>260</v>
      </c>
      <c r="P20" s="104">
        <v>20934</v>
      </c>
    </row>
    <row r="21" spans="2:16" ht="49.35" customHeight="1" x14ac:dyDescent="0.25">
      <c r="B21" s="267" t="s">
        <v>43</v>
      </c>
      <c r="C21" s="39" t="s">
        <v>36</v>
      </c>
      <c r="D21" s="37" t="s">
        <v>260</v>
      </c>
      <c r="E21" s="37" t="s">
        <v>260</v>
      </c>
      <c r="F21" s="37" t="s">
        <v>260</v>
      </c>
      <c r="G21" s="37" t="s">
        <v>260</v>
      </c>
      <c r="H21" s="37" t="s">
        <v>260</v>
      </c>
      <c r="I21" s="37" t="s">
        <v>260</v>
      </c>
      <c r="J21" s="37" t="s">
        <v>260</v>
      </c>
      <c r="K21" s="37" t="s">
        <v>260</v>
      </c>
      <c r="L21" s="37" t="s">
        <v>260</v>
      </c>
      <c r="M21" s="37" t="s">
        <v>260</v>
      </c>
      <c r="N21" s="37" t="s">
        <v>260</v>
      </c>
      <c r="O21" s="37" t="s">
        <v>260</v>
      </c>
      <c r="P21" s="103" t="s">
        <v>264</v>
      </c>
    </row>
    <row r="22" spans="2:16" ht="49.35" customHeight="1" x14ac:dyDescent="0.25">
      <c r="B22" s="267"/>
      <c r="C22" s="43" t="s">
        <v>42</v>
      </c>
      <c r="D22" s="40" t="s">
        <v>260</v>
      </c>
      <c r="E22" s="40" t="s">
        <v>260</v>
      </c>
      <c r="F22" s="40" t="s">
        <v>260</v>
      </c>
      <c r="G22" s="40" t="s">
        <v>260</v>
      </c>
      <c r="H22" s="40" t="s">
        <v>260</v>
      </c>
      <c r="I22" s="40" t="s">
        <v>260</v>
      </c>
      <c r="J22" s="40" t="s">
        <v>260</v>
      </c>
      <c r="K22" s="40" t="s">
        <v>260</v>
      </c>
      <c r="L22" s="40" t="s">
        <v>260</v>
      </c>
      <c r="M22" s="40" t="s">
        <v>260</v>
      </c>
      <c r="N22" s="40" t="s">
        <v>260</v>
      </c>
      <c r="O22" s="40" t="s">
        <v>260</v>
      </c>
      <c r="P22" s="104">
        <v>6533</v>
      </c>
    </row>
    <row r="23" spans="2:16" ht="49.35" customHeight="1" x14ac:dyDescent="0.25">
      <c r="B23" s="258" t="s">
        <v>45</v>
      </c>
      <c r="C23" s="35" t="s">
        <v>36</v>
      </c>
      <c r="D23" s="37" t="s">
        <v>260</v>
      </c>
      <c r="E23" s="37" t="s">
        <v>260</v>
      </c>
      <c r="F23" s="37" t="s">
        <v>260</v>
      </c>
      <c r="G23" s="37" t="s">
        <v>260</v>
      </c>
      <c r="H23" s="37" t="s">
        <v>260</v>
      </c>
      <c r="I23" s="37" t="s">
        <v>260</v>
      </c>
      <c r="J23" s="37" t="s">
        <v>260</v>
      </c>
      <c r="K23" s="37" t="s">
        <v>260</v>
      </c>
      <c r="L23" s="37" t="s">
        <v>260</v>
      </c>
      <c r="M23" s="37" t="s">
        <v>260</v>
      </c>
      <c r="N23" s="37" t="s">
        <v>260</v>
      </c>
      <c r="O23" s="37" t="s">
        <v>260</v>
      </c>
      <c r="P23" s="103" t="s">
        <v>157</v>
      </c>
    </row>
    <row r="24" spans="2:16" ht="49.35" customHeight="1" x14ac:dyDescent="0.25">
      <c r="B24" s="258"/>
      <c r="C24" s="42" t="s">
        <v>42</v>
      </c>
      <c r="D24" s="40" t="s">
        <v>260</v>
      </c>
      <c r="E24" s="40" t="s">
        <v>260</v>
      </c>
      <c r="F24" s="40" t="s">
        <v>260</v>
      </c>
      <c r="G24" s="40" t="s">
        <v>260</v>
      </c>
      <c r="H24" s="40" t="s">
        <v>260</v>
      </c>
      <c r="I24" s="40" t="s">
        <v>260</v>
      </c>
      <c r="J24" s="40" t="s">
        <v>260</v>
      </c>
      <c r="K24" s="40" t="s">
        <v>260</v>
      </c>
      <c r="L24" s="40" t="s">
        <v>260</v>
      </c>
      <c r="M24" s="40" t="s">
        <v>260</v>
      </c>
      <c r="N24" s="40" t="s">
        <v>260</v>
      </c>
      <c r="O24" s="40" t="s">
        <v>260</v>
      </c>
      <c r="P24" s="104">
        <v>4433</v>
      </c>
    </row>
    <row r="25" spans="2:16" ht="49.35" customHeight="1" x14ac:dyDescent="0.25">
      <c r="B25" s="267" t="s">
        <v>48</v>
      </c>
      <c r="C25" s="39" t="s">
        <v>36</v>
      </c>
      <c r="D25" s="37" t="s">
        <v>260</v>
      </c>
      <c r="E25" s="37" t="s">
        <v>260</v>
      </c>
      <c r="F25" s="37" t="s">
        <v>260</v>
      </c>
      <c r="G25" s="37" t="s">
        <v>260</v>
      </c>
      <c r="H25" s="37" t="s">
        <v>260</v>
      </c>
      <c r="I25" s="37" t="s">
        <v>260</v>
      </c>
      <c r="J25" s="37" t="s">
        <v>260</v>
      </c>
      <c r="K25" s="37" t="s">
        <v>260</v>
      </c>
      <c r="L25" s="37" t="s">
        <v>260</v>
      </c>
      <c r="M25" s="37" t="s">
        <v>260</v>
      </c>
      <c r="N25" s="37" t="s">
        <v>260</v>
      </c>
      <c r="O25" s="37" t="s">
        <v>260</v>
      </c>
      <c r="P25" s="103" t="s">
        <v>265</v>
      </c>
    </row>
    <row r="26" spans="2:16" ht="49.35" customHeight="1" x14ac:dyDescent="0.25">
      <c r="B26" s="267"/>
      <c r="C26" s="43" t="s">
        <v>42</v>
      </c>
      <c r="D26" s="40" t="s">
        <v>260</v>
      </c>
      <c r="E26" s="40" t="s">
        <v>260</v>
      </c>
      <c r="F26" s="40" t="s">
        <v>260</v>
      </c>
      <c r="G26" s="40" t="s">
        <v>260</v>
      </c>
      <c r="H26" s="40" t="s">
        <v>260</v>
      </c>
      <c r="I26" s="40" t="s">
        <v>260</v>
      </c>
      <c r="J26" s="40" t="s">
        <v>260</v>
      </c>
      <c r="K26" s="40" t="s">
        <v>260</v>
      </c>
      <c r="L26" s="40" t="s">
        <v>260</v>
      </c>
      <c r="M26" s="40" t="s">
        <v>260</v>
      </c>
      <c r="N26" s="40" t="s">
        <v>260</v>
      </c>
      <c r="O26" s="40" t="s">
        <v>260</v>
      </c>
      <c r="P26" s="104">
        <v>2429</v>
      </c>
    </row>
    <row r="27" spans="2:16" ht="49.35" customHeight="1" x14ac:dyDescent="0.25">
      <c r="B27" s="253" t="s">
        <v>51</v>
      </c>
      <c r="C27" s="253"/>
      <c r="D27" s="25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2:16" ht="44.85" customHeight="1" x14ac:dyDescent="0.25">
      <c r="B28" s="265" t="s">
        <v>35</v>
      </c>
      <c r="C28" s="265"/>
      <c r="D28" s="45" t="s">
        <v>53</v>
      </c>
      <c r="E28" s="45" t="s">
        <v>53</v>
      </c>
      <c r="F28" s="45" t="s">
        <v>53</v>
      </c>
      <c r="G28" s="45" t="s">
        <v>53</v>
      </c>
      <c r="H28" s="105" t="s">
        <v>53</v>
      </c>
      <c r="I28" s="105" t="s">
        <v>53</v>
      </c>
      <c r="J28" s="50" t="s">
        <v>266</v>
      </c>
      <c r="K28" s="50" t="s">
        <v>266</v>
      </c>
      <c r="L28" s="50" t="s">
        <v>266</v>
      </c>
      <c r="M28" s="11" t="s">
        <v>266</v>
      </c>
      <c r="N28" s="11" t="s">
        <v>266</v>
      </c>
      <c r="O28" s="11" t="s">
        <v>266</v>
      </c>
      <c r="P28" s="49" t="s">
        <v>266</v>
      </c>
    </row>
    <row r="29" spans="2:16" ht="44.85" customHeight="1" x14ac:dyDescent="0.25">
      <c r="B29" s="267" t="s">
        <v>40</v>
      </c>
      <c r="C29" s="267"/>
      <c r="D29" s="11" t="s">
        <v>54</v>
      </c>
      <c r="E29" s="11" t="s">
        <v>54</v>
      </c>
      <c r="F29" s="11" t="s">
        <v>54</v>
      </c>
      <c r="G29" s="11" t="s">
        <v>266</v>
      </c>
      <c r="H29" s="11" t="s">
        <v>266</v>
      </c>
      <c r="I29" s="11" t="s">
        <v>266</v>
      </c>
      <c r="J29" s="47" t="s">
        <v>53</v>
      </c>
      <c r="K29" s="47" t="s">
        <v>53</v>
      </c>
      <c r="L29" s="47" t="s">
        <v>53</v>
      </c>
      <c r="M29" s="47" t="s">
        <v>53</v>
      </c>
      <c r="N29" s="47" t="s">
        <v>53</v>
      </c>
      <c r="O29" s="47" t="s">
        <v>53</v>
      </c>
      <c r="P29" s="49" t="s">
        <v>53</v>
      </c>
    </row>
    <row r="30" spans="2:16" ht="44.85" customHeight="1" x14ac:dyDescent="0.25">
      <c r="B30" s="267" t="s">
        <v>43</v>
      </c>
      <c r="C30" s="267"/>
      <c r="D30" s="11" t="s">
        <v>266</v>
      </c>
      <c r="E30" s="11" t="s">
        <v>266</v>
      </c>
      <c r="F30" s="11" t="s">
        <v>266</v>
      </c>
      <c r="G30" s="11" t="s">
        <v>54</v>
      </c>
      <c r="H30" s="11" t="s">
        <v>54</v>
      </c>
      <c r="I30" s="11" t="s">
        <v>54</v>
      </c>
      <c r="J30" s="11" t="s">
        <v>54</v>
      </c>
      <c r="K30" s="11" t="s">
        <v>54</v>
      </c>
      <c r="L30" s="106" t="s">
        <v>54</v>
      </c>
      <c r="M30" s="47" t="s">
        <v>54</v>
      </c>
      <c r="N30" s="47" t="s">
        <v>54</v>
      </c>
      <c r="O30" s="47" t="s">
        <v>54</v>
      </c>
      <c r="P30" s="49" t="s">
        <v>54</v>
      </c>
    </row>
    <row r="31" spans="2:16" ht="44.85" customHeight="1" x14ac:dyDescent="0.25">
      <c r="B31" s="267" t="s">
        <v>45</v>
      </c>
      <c r="C31" s="267"/>
      <c r="D31" s="11" t="s">
        <v>56</v>
      </c>
      <c r="E31" s="11" t="s">
        <v>56</v>
      </c>
      <c r="F31" s="11" t="s">
        <v>56</v>
      </c>
      <c r="G31" s="11" t="s">
        <v>267</v>
      </c>
      <c r="H31" s="11" t="s">
        <v>267</v>
      </c>
      <c r="I31" s="11" t="s">
        <v>56</v>
      </c>
      <c r="J31" s="11" t="s">
        <v>56</v>
      </c>
      <c r="K31" s="11" t="s">
        <v>56</v>
      </c>
      <c r="L31" s="11" t="s">
        <v>56</v>
      </c>
      <c r="M31" s="11" t="s">
        <v>56</v>
      </c>
      <c r="N31" s="11" t="s">
        <v>56</v>
      </c>
      <c r="O31" s="11" t="s">
        <v>56</v>
      </c>
      <c r="P31" s="49" t="s">
        <v>56</v>
      </c>
    </row>
    <row r="32" spans="2:16" ht="44.85" customHeight="1" x14ac:dyDescent="0.25">
      <c r="B32" s="268" t="s">
        <v>48</v>
      </c>
      <c r="C32" s="268"/>
      <c r="D32" s="40" t="s">
        <v>57</v>
      </c>
      <c r="E32" s="40" t="s">
        <v>57</v>
      </c>
      <c r="F32" s="40" t="s">
        <v>57</v>
      </c>
      <c r="G32" s="40" t="s">
        <v>56</v>
      </c>
      <c r="H32" s="11" t="s">
        <v>56</v>
      </c>
      <c r="I32" s="40" t="s">
        <v>57</v>
      </c>
      <c r="J32" s="40" t="s">
        <v>57</v>
      </c>
      <c r="K32" s="40" t="s">
        <v>268</v>
      </c>
      <c r="L32" s="40" t="s">
        <v>57</v>
      </c>
      <c r="M32" s="40" t="s">
        <v>57</v>
      </c>
      <c r="N32" s="40" t="s">
        <v>57</v>
      </c>
      <c r="O32" s="40" t="s">
        <v>57</v>
      </c>
      <c r="P32" s="51" t="s">
        <v>57</v>
      </c>
    </row>
    <row r="33" spans="2:17" ht="44.85" customHeight="1" x14ac:dyDescent="0.25">
      <c r="B33" s="253" t="s">
        <v>269</v>
      </c>
      <c r="C33" s="253"/>
      <c r="D33" s="25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2:17" ht="39" customHeight="1" x14ac:dyDescent="0.25">
      <c r="B34" s="269" t="s">
        <v>59</v>
      </c>
      <c r="C34" s="52" t="s">
        <v>60</v>
      </c>
      <c r="D34" s="53">
        <v>917</v>
      </c>
      <c r="E34" s="53">
        <v>952</v>
      </c>
      <c r="F34" s="54">
        <v>826</v>
      </c>
      <c r="G34" s="54">
        <v>3911</v>
      </c>
      <c r="H34" s="54">
        <v>9071</v>
      </c>
      <c r="I34" s="54">
        <v>6167</v>
      </c>
      <c r="J34" s="54">
        <v>3893</v>
      </c>
      <c r="K34" s="54">
        <v>5458</v>
      </c>
      <c r="L34" s="54">
        <v>4907</v>
      </c>
      <c r="M34" s="54">
        <v>4961</v>
      </c>
      <c r="N34" s="54">
        <v>6200</v>
      </c>
      <c r="O34" s="54">
        <v>5612</v>
      </c>
      <c r="P34" s="56">
        <f>SUM(D34:O34)</f>
        <v>52875</v>
      </c>
    </row>
    <row r="35" spans="2:17" ht="44.85" customHeight="1" x14ac:dyDescent="0.25">
      <c r="B35" s="269"/>
      <c r="C35" s="57" t="s">
        <v>61</v>
      </c>
      <c r="D35" s="58" t="s">
        <v>270</v>
      </c>
      <c r="E35" s="58" t="s">
        <v>271</v>
      </c>
      <c r="F35" s="58" t="s">
        <v>272</v>
      </c>
      <c r="G35" s="58" t="s">
        <v>88</v>
      </c>
      <c r="H35" s="58" t="s">
        <v>273</v>
      </c>
      <c r="I35" s="58" t="s">
        <v>274</v>
      </c>
      <c r="J35" s="58" t="s">
        <v>275</v>
      </c>
      <c r="K35" s="58" t="s">
        <v>276</v>
      </c>
      <c r="L35" s="58" t="s">
        <v>277</v>
      </c>
      <c r="M35" s="58" t="s">
        <v>278</v>
      </c>
      <c r="N35" s="58" t="s">
        <v>279</v>
      </c>
      <c r="O35" s="58" t="s">
        <v>280</v>
      </c>
      <c r="P35" s="60">
        <f>P34/(P$34+P$36+P$38+P$40)</f>
        <v>0.42501969358391073</v>
      </c>
    </row>
    <row r="36" spans="2:17" ht="31.35" customHeight="1" x14ac:dyDescent="0.25">
      <c r="B36" s="266" t="s">
        <v>72</v>
      </c>
      <c r="C36" s="52" t="s">
        <v>60</v>
      </c>
      <c r="D36" s="54">
        <v>381</v>
      </c>
      <c r="E36" s="54">
        <v>393</v>
      </c>
      <c r="F36" s="107">
        <v>377</v>
      </c>
      <c r="G36" s="54">
        <v>852</v>
      </c>
      <c r="H36" s="54">
        <v>2096</v>
      </c>
      <c r="I36" s="54">
        <v>970</v>
      </c>
      <c r="J36" s="54">
        <v>701</v>
      </c>
      <c r="K36" s="54">
        <v>591</v>
      </c>
      <c r="L36" s="54">
        <v>309</v>
      </c>
      <c r="M36" s="54">
        <v>252</v>
      </c>
      <c r="N36" s="54">
        <v>365</v>
      </c>
      <c r="O36" s="54">
        <v>727</v>
      </c>
      <c r="P36" s="56">
        <f>SUM(D36:O36)</f>
        <v>8014</v>
      </c>
    </row>
    <row r="37" spans="2:17" ht="44.85" customHeight="1" x14ac:dyDescent="0.25">
      <c r="B37" s="266"/>
      <c r="C37" s="61" t="s">
        <v>61</v>
      </c>
      <c r="D37" s="58" t="s">
        <v>281</v>
      </c>
      <c r="E37" s="58" t="s">
        <v>282</v>
      </c>
      <c r="F37" s="62" t="s">
        <v>283</v>
      </c>
      <c r="G37" s="58" t="s">
        <v>284</v>
      </c>
      <c r="H37" s="63" t="s">
        <v>285</v>
      </c>
      <c r="I37" s="58" t="s">
        <v>286</v>
      </c>
      <c r="J37" s="63" t="s">
        <v>287</v>
      </c>
      <c r="K37" s="63" t="s">
        <v>288</v>
      </c>
      <c r="L37" s="63" t="s">
        <v>289</v>
      </c>
      <c r="M37" s="63" t="s">
        <v>290</v>
      </c>
      <c r="N37" s="63" t="s">
        <v>291</v>
      </c>
      <c r="O37" s="65">
        <v>6.7199999999999996E-2</v>
      </c>
      <c r="P37" s="66">
        <f>P36/(P$34+P$36+P$38+P$40)</f>
        <v>6.4418114881918884E-2</v>
      </c>
    </row>
    <row r="38" spans="2:17" ht="31.35" customHeight="1" x14ac:dyDescent="0.25">
      <c r="B38" s="271" t="s">
        <v>83</v>
      </c>
      <c r="C38" s="57" t="s">
        <v>60</v>
      </c>
      <c r="D38" s="54">
        <v>6</v>
      </c>
      <c r="E38" s="54">
        <v>122</v>
      </c>
      <c r="F38" s="54">
        <v>159</v>
      </c>
      <c r="G38" s="54">
        <v>10502</v>
      </c>
      <c r="H38" s="54">
        <v>19661</v>
      </c>
      <c r="I38" s="54">
        <v>2698</v>
      </c>
      <c r="J38" s="53">
        <v>2759</v>
      </c>
      <c r="K38" s="53">
        <v>4467</v>
      </c>
      <c r="L38" s="53">
        <v>4337</v>
      </c>
      <c r="M38" s="53">
        <v>4752</v>
      </c>
      <c r="N38" s="53">
        <v>6196</v>
      </c>
      <c r="O38" s="53">
        <v>4052</v>
      </c>
      <c r="P38" s="68">
        <f>SUM(D38:O38)</f>
        <v>59711</v>
      </c>
      <c r="Q38" s="108"/>
    </row>
    <row r="39" spans="2:17" ht="44.85" customHeight="1" x14ac:dyDescent="0.25">
      <c r="B39" s="271" t="s">
        <v>84</v>
      </c>
      <c r="C39" s="57" t="s">
        <v>61</v>
      </c>
      <c r="D39" s="63" t="s">
        <v>292</v>
      </c>
      <c r="E39" s="63" t="s">
        <v>293</v>
      </c>
      <c r="F39" s="63" t="s">
        <v>294</v>
      </c>
      <c r="G39" s="58" t="s">
        <v>295</v>
      </c>
      <c r="H39" s="58" t="s">
        <v>296</v>
      </c>
      <c r="I39" s="58" t="s">
        <v>297</v>
      </c>
      <c r="J39" s="58" t="s">
        <v>298</v>
      </c>
      <c r="K39" s="58" t="s">
        <v>299</v>
      </c>
      <c r="L39" s="58" t="s">
        <v>300</v>
      </c>
      <c r="M39" s="58" t="s">
        <v>301</v>
      </c>
      <c r="N39" s="58" t="s">
        <v>302</v>
      </c>
      <c r="O39" s="58" t="s">
        <v>303</v>
      </c>
      <c r="P39" s="60">
        <f>P38/(P$34+P$36+P$38+P$40)</f>
        <v>0.47996881179364337</v>
      </c>
    </row>
    <row r="40" spans="2:17" ht="31.35" customHeight="1" x14ac:dyDescent="0.25">
      <c r="B40" s="266" t="s">
        <v>95</v>
      </c>
      <c r="C40" s="52" t="s">
        <v>60</v>
      </c>
      <c r="D40" s="54" t="s">
        <v>259</v>
      </c>
      <c r="E40" s="54" t="s">
        <v>259</v>
      </c>
      <c r="F40" s="69" t="s">
        <v>304</v>
      </c>
      <c r="G40" s="54">
        <v>344</v>
      </c>
      <c r="H40" s="69" t="s">
        <v>305</v>
      </c>
      <c r="I40" s="54">
        <v>109</v>
      </c>
      <c r="J40" s="69" t="s">
        <v>306</v>
      </c>
      <c r="K40" s="69" t="s">
        <v>307</v>
      </c>
      <c r="L40" s="69" t="s">
        <v>308</v>
      </c>
      <c r="M40" s="69" t="s">
        <v>309</v>
      </c>
      <c r="N40" s="69" t="s">
        <v>310</v>
      </c>
      <c r="O40" s="69" t="s">
        <v>311</v>
      </c>
      <c r="P40" s="48">
        <f>F40+G40+H40+I40+J40+K40+L40+M40+N40+O40</f>
        <v>3806</v>
      </c>
    </row>
    <row r="41" spans="2:17" ht="44.85" customHeight="1" x14ac:dyDescent="0.25">
      <c r="B41" s="266"/>
      <c r="C41" s="61" t="s">
        <v>61</v>
      </c>
      <c r="D41" s="63" t="s">
        <v>259</v>
      </c>
      <c r="E41" s="63" t="s">
        <v>259</v>
      </c>
      <c r="F41" s="63" t="s">
        <v>312</v>
      </c>
      <c r="G41" s="58" t="s">
        <v>313</v>
      </c>
      <c r="H41" s="63" t="s">
        <v>314</v>
      </c>
      <c r="I41" s="58" t="s">
        <v>315</v>
      </c>
      <c r="J41" s="63" t="s">
        <v>316</v>
      </c>
      <c r="K41" s="63" t="s">
        <v>317</v>
      </c>
      <c r="L41" s="63" t="s">
        <v>318</v>
      </c>
      <c r="M41" s="63" t="s">
        <v>319</v>
      </c>
      <c r="N41" s="63" t="s">
        <v>320</v>
      </c>
      <c r="O41" s="63" t="s">
        <v>321</v>
      </c>
      <c r="P41" s="66">
        <f>P40/(P$34+P$36+P$38+P$40)</f>
        <v>3.0593379740526984E-2</v>
      </c>
    </row>
    <row r="42" spans="2:17" ht="43.15" customHeight="1" x14ac:dyDescent="0.25">
      <c r="B42" s="253" t="s">
        <v>322</v>
      </c>
      <c r="C42" s="253"/>
      <c r="D42" s="25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2:17" ht="44.85" customHeight="1" x14ac:dyDescent="0.25">
      <c r="B43" s="272" t="s">
        <v>108</v>
      </c>
      <c r="C43" s="52" t="s">
        <v>60</v>
      </c>
      <c r="D43" s="54">
        <v>1123</v>
      </c>
      <c r="E43" s="54">
        <v>1314</v>
      </c>
      <c r="F43" s="54">
        <v>1208</v>
      </c>
      <c r="G43" s="54">
        <v>8383</v>
      </c>
      <c r="H43" s="54">
        <v>14545</v>
      </c>
      <c r="I43" s="54">
        <v>5792</v>
      </c>
      <c r="J43" s="54">
        <v>3984</v>
      </c>
      <c r="K43" s="54">
        <v>4075</v>
      </c>
      <c r="L43" s="54">
        <v>4680</v>
      </c>
      <c r="M43" s="54">
        <v>5116</v>
      </c>
      <c r="N43" s="54">
        <v>6141</v>
      </c>
      <c r="O43" s="54">
        <v>686</v>
      </c>
      <c r="P43" s="56">
        <f>SUM(D43:O43)</f>
        <v>57047</v>
      </c>
    </row>
    <row r="44" spans="2:17" ht="32.25" customHeight="1" x14ac:dyDescent="0.25">
      <c r="B44" s="272"/>
      <c r="C44" s="57" t="s">
        <v>61</v>
      </c>
      <c r="D44" s="58" t="s">
        <v>323</v>
      </c>
      <c r="E44" s="58" t="s">
        <v>324</v>
      </c>
      <c r="F44" s="58" t="s">
        <v>325</v>
      </c>
      <c r="G44" s="58" t="s">
        <v>326</v>
      </c>
      <c r="H44" s="58" t="s">
        <v>327</v>
      </c>
      <c r="I44" s="58" t="s">
        <v>328</v>
      </c>
      <c r="J44" s="58" t="s">
        <v>329</v>
      </c>
      <c r="K44" s="58" t="s">
        <v>330</v>
      </c>
      <c r="L44" s="58" t="s">
        <v>331</v>
      </c>
      <c r="M44" s="58" t="s">
        <v>332</v>
      </c>
      <c r="N44" s="58" t="s">
        <v>333</v>
      </c>
      <c r="O44" s="58" t="s">
        <v>334</v>
      </c>
      <c r="P44" s="60">
        <f>P43/(P$43+P$45+P$47)</f>
        <v>0.49728895707660659</v>
      </c>
    </row>
    <row r="45" spans="2:17" ht="44.85" customHeight="1" x14ac:dyDescent="0.25">
      <c r="B45" s="273" t="s">
        <v>118</v>
      </c>
      <c r="C45" s="52" t="s">
        <v>60</v>
      </c>
      <c r="D45" s="54">
        <v>144</v>
      </c>
      <c r="E45" s="54">
        <v>136</v>
      </c>
      <c r="F45" s="54">
        <v>149</v>
      </c>
      <c r="G45" s="54">
        <v>6668</v>
      </c>
      <c r="H45" s="54">
        <v>16346</v>
      </c>
      <c r="I45" s="54">
        <v>3913</v>
      </c>
      <c r="J45" s="54">
        <v>3300</v>
      </c>
      <c r="K45" s="54">
        <v>7188</v>
      </c>
      <c r="L45" s="54">
        <v>4923</v>
      </c>
      <c r="M45" s="54">
        <v>5014</v>
      </c>
      <c r="N45" s="54">
        <v>6624</v>
      </c>
      <c r="O45" s="54">
        <v>231</v>
      </c>
      <c r="P45" s="56">
        <f>SUM(D45:O45)</f>
        <v>54636</v>
      </c>
    </row>
    <row r="46" spans="2:17" ht="26.1" customHeight="1" x14ac:dyDescent="0.25">
      <c r="B46" s="273"/>
      <c r="C46" s="61" t="s">
        <v>61</v>
      </c>
      <c r="D46" s="63" t="s">
        <v>335</v>
      </c>
      <c r="E46" s="63" t="s">
        <v>336</v>
      </c>
      <c r="F46" s="63" t="s">
        <v>337</v>
      </c>
      <c r="G46" s="58" t="s">
        <v>338</v>
      </c>
      <c r="H46" s="63" t="s">
        <v>339</v>
      </c>
      <c r="I46" s="58" t="s">
        <v>340</v>
      </c>
      <c r="J46" s="63" t="s">
        <v>341</v>
      </c>
      <c r="K46" s="63" t="s">
        <v>342</v>
      </c>
      <c r="L46" s="63" t="s">
        <v>343</v>
      </c>
      <c r="M46" s="63" t="s">
        <v>344</v>
      </c>
      <c r="N46" s="63" t="s">
        <v>345</v>
      </c>
      <c r="O46" s="63" t="s">
        <v>346</v>
      </c>
      <c r="P46" s="66">
        <f>P45/(P$43+P$45+P$47)</f>
        <v>0.47627183653544403</v>
      </c>
    </row>
    <row r="47" spans="2:17" ht="44.85" customHeight="1" x14ac:dyDescent="0.25">
      <c r="B47" s="274" t="s">
        <v>128</v>
      </c>
      <c r="C47" s="57" t="s">
        <v>60</v>
      </c>
      <c r="D47" s="11">
        <v>37</v>
      </c>
      <c r="E47" s="54">
        <v>17</v>
      </c>
      <c r="F47" s="54">
        <v>20</v>
      </c>
      <c r="G47" s="54">
        <v>558</v>
      </c>
      <c r="H47" s="58" t="s">
        <v>347</v>
      </c>
      <c r="I47" s="54">
        <v>240</v>
      </c>
      <c r="J47" s="58" t="s">
        <v>348</v>
      </c>
      <c r="K47" s="58" t="s">
        <v>349</v>
      </c>
      <c r="L47" s="58" t="s">
        <v>350</v>
      </c>
      <c r="M47" s="58" t="s">
        <v>351</v>
      </c>
      <c r="N47" s="58" t="s">
        <v>352</v>
      </c>
      <c r="O47" s="58" t="s">
        <v>353</v>
      </c>
      <c r="P47" s="68">
        <f>D47+E47+F47+G47+H47+I47+J47+K47+L47+M47+N47+O47</f>
        <v>3033</v>
      </c>
    </row>
    <row r="48" spans="2:17" ht="49.35" customHeight="1" x14ac:dyDescent="0.25">
      <c r="B48" s="274"/>
      <c r="C48" s="61" t="s">
        <v>61</v>
      </c>
      <c r="D48" s="63" t="s">
        <v>354</v>
      </c>
      <c r="E48" s="63" t="s">
        <v>355</v>
      </c>
      <c r="F48" s="63" t="s">
        <v>356</v>
      </c>
      <c r="G48" s="63" t="s">
        <v>357</v>
      </c>
      <c r="H48" s="63" t="s">
        <v>358</v>
      </c>
      <c r="I48" s="63" t="s">
        <v>359</v>
      </c>
      <c r="J48" s="63" t="s">
        <v>360</v>
      </c>
      <c r="K48" s="63" t="s">
        <v>361</v>
      </c>
      <c r="L48" s="63" t="s">
        <v>362</v>
      </c>
      <c r="M48" s="63" t="s">
        <v>363</v>
      </c>
      <c r="N48" s="63" t="s">
        <v>364</v>
      </c>
      <c r="O48" s="63" t="s">
        <v>319</v>
      </c>
      <c r="P48" s="66">
        <f>P47/(P$43+P$45+P$47)</f>
        <v>2.643920638794937E-2</v>
      </c>
    </row>
    <row r="49" spans="2:258" ht="44.65" customHeight="1" x14ac:dyDescent="0.25">
      <c r="B49" s="72"/>
      <c r="C49" s="72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258" s="74" customFormat="1" ht="17.25" customHeight="1" x14ac:dyDescent="0.25">
      <c r="B50" s="275" t="s">
        <v>142</v>
      </c>
      <c r="C50" s="2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  <c r="IW50" s="77"/>
      <c r="IX50" s="77"/>
    </row>
    <row r="51" spans="2:258" s="74" customFormat="1" ht="16.149999999999999" customHeight="1" x14ac:dyDescent="0.25">
      <c r="B51" s="276" t="s">
        <v>142</v>
      </c>
      <c r="C51" s="2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  <c r="IW51" s="77"/>
      <c r="IX51" s="77"/>
    </row>
    <row r="52" spans="2:258" s="74" customFormat="1" ht="20.65" customHeight="1" x14ac:dyDescent="0.25">
      <c r="B52" s="109"/>
      <c r="C52" s="72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  <c r="IW52" s="77"/>
      <c r="IX52" s="77"/>
    </row>
    <row r="53" spans="2:258" s="74" customFormat="1" ht="13.9" customHeight="1" x14ac:dyDescent="0.25">
      <c r="B53" s="277" t="s">
        <v>143</v>
      </c>
      <c r="C53" s="277"/>
      <c r="D53" s="277"/>
      <c r="E53" s="277"/>
      <c r="F53" s="277"/>
      <c r="G53" s="277"/>
      <c r="H53" s="277"/>
      <c r="I53" s="277"/>
      <c r="J53" s="79"/>
      <c r="K53" s="79"/>
      <c r="L53" s="79"/>
      <c r="M53" s="79"/>
      <c r="N53" s="79"/>
      <c r="O53" s="79"/>
      <c r="P53" s="79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  <c r="IW53" s="77"/>
      <c r="IX53" s="77"/>
    </row>
    <row r="54" spans="2:258" s="74" customFormat="1" ht="18.399999999999999" customHeight="1" x14ac:dyDescent="0.25">
      <c r="B54" s="270" t="s">
        <v>144</v>
      </c>
      <c r="C54" s="270"/>
      <c r="D54" s="270"/>
      <c r="E54" s="270"/>
      <c r="F54" s="270"/>
      <c r="G54" s="270"/>
      <c r="H54" s="270"/>
      <c r="I54" s="270"/>
      <c r="J54" s="79"/>
      <c r="K54" s="79"/>
      <c r="L54" s="79"/>
      <c r="M54" s="79"/>
      <c r="N54" s="79"/>
      <c r="O54" s="79"/>
      <c r="P54" s="79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  <c r="IW54" s="77"/>
      <c r="IX54" s="77"/>
    </row>
    <row r="55" spans="2:258" s="74" customFormat="1" ht="18.399999999999999" customHeight="1" x14ac:dyDescent="0.25">
      <c r="B55" s="110"/>
      <c r="C55" s="111"/>
      <c r="D55" s="81"/>
      <c r="E55" s="81"/>
      <c r="F55" s="81"/>
      <c r="G55" s="81"/>
      <c r="H55" s="81"/>
      <c r="I55" s="81"/>
      <c r="J55" s="79"/>
      <c r="K55" s="79"/>
      <c r="L55" s="79"/>
      <c r="M55" s="79"/>
      <c r="N55" s="79"/>
      <c r="O55" s="79"/>
      <c r="P55" s="79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  <c r="IW55" s="77"/>
      <c r="IX55" s="77"/>
    </row>
    <row r="56" spans="2:258" s="74" customFormat="1" x14ac:dyDescent="0.25">
      <c r="B56" s="278" t="s">
        <v>575</v>
      </c>
      <c r="C56" s="278"/>
      <c r="D56" s="278"/>
      <c r="E56" s="278"/>
      <c r="F56" s="278"/>
      <c r="G56" s="278"/>
      <c r="H56" s="81"/>
      <c r="I56" s="81"/>
      <c r="J56" s="79"/>
      <c r="K56" s="79"/>
      <c r="L56" s="79"/>
      <c r="M56" s="79"/>
      <c r="N56" s="79"/>
      <c r="O56" s="79"/>
      <c r="P56" s="79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  <c r="IW56" s="77"/>
      <c r="IX56" s="77"/>
    </row>
    <row r="57" spans="2:258" s="74" customFormat="1" ht="36.6" customHeight="1" x14ac:dyDescent="0.25">
      <c r="B57" s="270" t="s">
        <v>576</v>
      </c>
      <c r="C57" s="270"/>
      <c r="D57" s="270"/>
      <c r="E57" s="270"/>
      <c r="F57" s="270"/>
      <c r="G57" s="270"/>
      <c r="H57" s="81"/>
      <c r="I57" s="81"/>
      <c r="J57" s="79"/>
      <c r="K57" s="79"/>
      <c r="L57" s="79"/>
      <c r="M57" s="79"/>
      <c r="N57" s="79"/>
      <c r="O57" s="79"/>
      <c r="P57" s="79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  <c r="IW57" s="77"/>
      <c r="IX57" s="77"/>
    </row>
    <row r="58" spans="2:258" s="74" customFormat="1" ht="25.15" customHeight="1" x14ac:dyDescent="0.25">
      <c r="B58" s="110"/>
      <c r="C58" s="111"/>
      <c r="D58" s="81"/>
      <c r="E58" s="81"/>
      <c r="F58" s="81"/>
      <c r="G58" s="81"/>
      <c r="H58" s="81"/>
      <c r="I58" s="81"/>
      <c r="J58" s="79"/>
      <c r="K58" s="79"/>
      <c r="L58" s="79"/>
      <c r="M58" s="79"/>
      <c r="N58" s="79"/>
      <c r="O58" s="79"/>
      <c r="P58" s="79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  <c r="IW58" s="77"/>
      <c r="IX58" s="77"/>
    </row>
    <row r="59" spans="2:258" s="74" customFormat="1" ht="18" customHeight="1" x14ac:dyDescent="0.25">
      <c r="B59" s="277" t="s">
        <v>145</v>
      </c>
      <c r="C59" s="277"/>
      <c r="D59" s="277"/>
      <c r="E59" s="277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  <c r="IW59" s="77"/>
      <c r="IX59" s="77"/>
    </row>
    <row r="60" spans="2:258" s="74" customFormat="1" ht="16.149999999999999" customHeight="1" x14ac:dyDescent="0.25">
      <c r="B60" s="270" t="s">
        <v>146</v>
      </c>
      <c r="C60" s="270"/>
      <c r="D60" s="270"/>
      <c r="E60" s="270"/>
      <c r="F60" s="270"/>
      <c r="G60" s="270"/>
      <c r="H60" s="79"/>
      <c r="I60" s="79"/>
      <c r="J60" s="79"/>
      <c r="K60" s="79"/>
      <c r="L60" s="79"/>
      <c r="M60" s="79"/>
      <c r="N60" s="79"/>
      <c r="O60" s="79"/>
      <c r="P60" s="79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  <c r="IW60" s="77"/>
      <c r="IX60" s="77"/>
    </row>
    <row r="61" spans="2:258" s="74" customFormat="1" ht="16.149999999999999" customHeight="1" x14ac:dyDescent="0.25">
      <c r="B61" s="110"/>
      <c r="C61" s="111"/>
      <c r="D61" s="81"/>
      <c r="E61" s="81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  <c r="IW61" s="77"/>
      <c r="IX61" s="77"/>
    </row>
    <row r="62" spans="2:258" s="74" customFormat="1" ht="21.6" customHeight="1" x14ac:dyDescent="0.25">
      <c r="B62" s="277" t="s">
        <v>578</v>
      </c>
      <c r="C62" s="277"/>
      <c r="D62" s="277"/>
      <c r="E62" s="277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</row>
    <row r="63" spans="2:258" s="74" customFormat="1" ht="19.5" customHeight="1" x14ac:dyDescent="0.25">
      <c r="B63" s="280" t="s">
        <v>580</v>
      </c>
      <c r="C63" s="280"/>
      <c r="D63" s="280"/>
      <c r="E63" s="280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  <c r="IW63" s="77"/>
      <c r="IX63" s="77"/>
    </row>
    <row r="64" spans="2:258" s="74" customFormat="1" ht="18.75" x14ac:dyDescent="0.25">
      <c r="B64" s="112"/>
      <c r="C64" s="111"/>
      <c r="D64" s="81"/>
      <c r="E64" s="8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  <c r="IW64" s="77"/>
      <c r="IX64" s="77"/>
    </row>
    <row r="65" spans="1:258" s="74" customFormat="1" ht="21.6" customHeight="1" x14ac:dyDescent="0.25">
      <c r="B65" s="277" t="s">
        <v>147</v>
      </c>
      <c r="C65" s="277"/>
      <c r="D65" s="277"/>
      <c r="E65" s="277"/>
      <c r="F65" s="77"/>
      <c r="G65" s="77"/>
      <c r="H65" s="77"/>
      <c r="I65" s="77"/>
      <c r="J65" s="77"/>
      <c r="K65" s="77"/>
      <c r="L65" s="77"/>
      <c r="M65" s="83"/>
      <c r="N65" s="83"/>
      <c r="O65" s="83"/>
      <c r="P65" s="83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  <c r="IW65" s="77"/>
      <c r="IX65" s="77"/>
    </row>
    <row r="66" spans="1:258" s="74" customFormat="1" ht="16.149999999999999" customHeight="1" x14ac:dyDescent="0.3">
      <c r="B66" s="113" t="s">
        <v>581</v>
      </c>
      <c r="C66" s="114"/>
      <c r="D66" s="77"/>
      <c r="E66" s="77"/>
      <c r="F66" s="77"/>
      <c r="G66" s="77"/>
      <c r="H66" s="77"/>
      <c r="I66" s="77"/>
      <c r="J66" s="77"/>
      <c r="K66" s="77"/>
      <c r="L66" s="77"/>
      <c r="M66" s="83"/>
      <c r="N66" s="83"/>
      <c r="O66" s="83"/>
      <c r="P66" s="83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  <c r="IX66" s="77"/>
    </row>
    <row r="67" spans="1:258" s="74" customFormat="1" ht="18.75" x14ac:dyDescent="0.3">
      <c r="B67" s="114"/>
      <c r="C67" s="114"/>
      <c r="D67" s="77"/>
      <c r="E67" s="77"/>
      <c r="F67" s="77"/>
      <c r="G67" s="77"/>
      <c r="H67" s="85"/>
      <c r="I67" s="85"/>
      <c r="J67" s="86"/>
      <c r="K67" s="86"/>
      <c r="L67" s="86"/>
      <c r="M67" s="83"/>
      <c r="N67" s="83"/>
      <c r="O67" s="83"/>
      <c r="P67" s="83"/>
      <c r="Q67" s="8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  <c r="IW67" s="77"/>
      <c r="IX67" s="77"/>
    </row>
    <row r="68" spans="1:258" s="74" customFormat="1" ht="17.649999999999999" customHeight="1" x14ac:dyDescent="0.3">
      <c r="B68" s="115"/>
      <c r="C68" s="116"/>
      <c r="D68" s="117"/>
      <c r="E68" s="117"/>
      <c r="F68" s="117"/>
      <c r="G68" s="77"/>
      <c r="H68" s="85"/>
      <c r="I68" s="85"/>
      <c r="J68" s="86"/>
      <c r="K68" s="86"/>
      <c r="L68" s="86"/>
      <c r="M68" s="83"/>
      <c r="N68" s="83"/>
      <c r="O68" s="83"/>
      <c r="P68" s="83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  <c r="IW68" s="77"/>
      <c r="IX68" s="77"/>
    </row>
    <row r="69" spans="1:258" s="74" customFormat="1" ht="13.15" customHeight="1" x14ac:dyDescent="0.3">
      <c r="B69" s="113"/>
      <c r="C69" s="118"/>
      <c r="D69" s="117"/>
      <c r="E69" s="117"/>
      <c r="F69" s="117"/>
      <c r="G69" s="77"/>
      <c r="H69" s="89"/>
      <c r="I69" s="89"/>
      <c r="J69" s="86"/>
      <c r="K69" s="86"/>
      <c r="L69" s="86"/>
      <c r="M69" s="86"/>
      <c r="N69" s="86"/>
      <c r="O69" s="86"/>
      <c r="P69" s="86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  <c r="IW69" s="77"/>
      <c r="IX69" s="77"/>
    </row>
    <row r="70" spans="1:258" s="74" customFormat="1" ht="18.399999999999999" customHeight="1" x14ac:dyDescent="0.25">
      <c r="B70" s="117"/>
      <c r="C70" s="117"/>
      <c r="D70" s="117"/>
      <c r="E70" s="117"/>
      <c r="F70" s="117"/>
      <c r="G70" s="77"/>
      <c r="H70" s="89"/>
      <c r="I70" s="89"/>
      <c r="J70" s="86"/>
      <c r="K70" s="86"/>
      <c r="L70" s="86"/>
      <c r="M70" s="86"/>
      <c r="N70" s="86"/>
      <c r="O70" s="86"/>
      <c r="P70" s="86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  <c r="IW70" s="77"/>
      <c r="IX70" s="77"/>
    </row>
    <row r="71" spans="1:258" s="74" customFormat="1" x14ac:dyDescent="0.25">
      <c r="B71" s="119"/>
      <c r="C71" s="117"/>
      <c r="D71" s="117"/>
      <c r="E71" s="117"/>
      <c r="F71" s="11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  <c r="IW71" s="77"/>
      <c r="IX71" s="77"/>
    </row>
    <row r="72" spans="1:258" s="74" customFormat="1" x14ac:dyDescent="0.2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  <c r="IW72" s="77"/>
      <c r="IX72" s="77"/>
    </row>
    <row r="73" spans="1:258" s="92" customFormat="1" x14ac:dyDescent="0.25">
      <c r="A73" s="74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  <c r="IV73" s="91"/>
      <c r="IW73" s="91"/>
      <c r="IX73" s="91"/>
    </row>
    <row r="74" spans="1:258" x14ac:dyDescent="0.25">
      <c r="B74"/>
      <c r="Q74" s="93"/>
    </row>
    <row r="75" spans="1:258" x14ac:dyDescent="0.25">
      <c r="B75"/>
    </row>
    <row r="76" spans="1:258" x14ac:dyDescent="0.25">
      <c r="B76"/>
    </row>
    <row r="78" spans="1:258" x14ac:dyDescent="0.25">
      <c r="A78" s="94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  <c r="IV78" s="95"/>
      <c r="IW78" s="95"/>
      <c r="IX78" s="95"/>
    </row>
    <row r="79" spans="1:258" x14ac:dyDescent="0.25">
      <c r="A79" s="94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  <c r="IV79" s="95"/>
      <c r="IW79" s="95"/>
      <c r="IX79" s="95"/>
    </row>
    <row r="80" spans="1:258" x14ac:dyDescent="0.25"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  <c r="IV80" s="95"/>
      <c r="IW80" s="95"/>
      <c r="IX80" s="95"/>
    </row>
    <row r="81" spans="17:258" x14ac:dyDescent="0.25"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  <c r="IV81" s="95"/>
      <c r="IW81" s="95"/>
      <c r="IX81" s="95"/>
    </row>
    <row r="82" spans="17:258" x14ac:dyDescent="0.25"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  <c r="IV82" s="95"/>
      <c r="IW82" s="95"/>
      <c r="IX82" s="95"/>
    </row>
    <row r="83" spans="17:258" x14ac:dyDescent="0.25"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  <c r="IV83" s="95"/>
      <c r="IW83" s="95"/>
      <c r="IX83" s="95"/>
    </row>
    <row r="84" spans="17:258" x14ac:dyDescent="0.25"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  <c r="IV84" s="95"/>
      <c r="IW84" s="95"/>
      <c r="IX84" s="95"/>
    </row>
    <row r="85" spans="17:258" x14ac:dyDescent="0.25"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  <c r="IV85" s="95"/>
      <c r="IW85" s="95"/>
      <c r="IX85" s="95"/>
    </row>
    <row r="86" spans="17:258" x14ac:dyDescent="0.25">
      <c r="Q86" s="96"/>
    </row>
    <row r="87" spans="17:258" x14ac:dyDescent="0.25">
      <c r="Q87" s="96"/>
    </row>
    <row r="88" spans="17:258" ht="30" customHeight="1" x14ac:dyDescent="0.25">
      <c r="Q88" s="96"/>
    </row>
    <row r="89" spans="17:258" ht="31.5" customHeight="1" x14ac:dyDescent="0.25">
      <c r="Q89" s="96"/>
    </row>
    <row r="90" spans="17:258" ht="30" customHeight="1" x14ac:dyDescent="0.25"/>
    <row r="91" spans="17:258" ht="30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44">
    <mergeCell ref="B4:P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D16"/>
    <mergeCell ref="B17:B18"/>
    <mergeCell ref="B19:B20"/>
    <mergeCell ref="B21:B22"/>
    <mergeCell ref="B23:B24"/>
    <mergeCell ref="B25:B26"/>
    <mergeCell ref="B27:D27"/>
    <mergeCell ref="B28:C28"/>
    <mergeCell ref="B29:C29"/>
    <mergeCell ref="B30:C30"/>
    <mergeCell ref="B31:C31"/>
    <mergeCell ref="B32:C32"/>
    <mergeCell ref="B33:D33"/>
    <mergeCell ref="B34:B35"/>
    <mergeCell ref="B36:B37"/>
    <mergeCell ref="B38:B39"/>
    <mergeCell ref="B40:B41"/>
    <mergeCell ref="B42:D42"/>
    <mergeCell ref="B43:B44"/>
    <mergeCell ref="B45:B46"/>
    <mergeCell ref="B47:B48"/>
    <mergeCell ref="B50:C50"/>
    <mergeCell ref="B51:C51"/>
    <mergeCell ref="B60:G60"/>
    <mergeCell ref="B62:E62"/>
    <mergeCell ref="B63:E63"/>
    <mergeCell ref="B65:E65"/>
    <mergeCell ref="B53:I53"/>
    <mergeCell ref="B54:I54"/>
    <mergeCell ref="B56:G56"/>
    <mergeCell ref="B57:G57"/>
    <mergeCell ref="B59:E59"/>
  </mergeCells>
  <printOptions horizontalCentered="1"/>
  <pageMargins left="0.196527777777778" right="0.196527777777778" top="0.39374999999999999" bottom="0.63124999999999998" header="0.511811023622047" footer="0.39374999999999999"/>
  <pageSetup scale="44" orientation="landscape" horizontalDpi="300" verticalDpi="300" r:id="rId1"/>
  <headerFooter>
    <oddFooter>&amp;C&amp;"Arial,Normal"&amp;10&amp;P / &amp;N</oddFooter>
  </headerFooter>
  <rowBreaks count="2" manualBreakCount="2">
    <brk id="15" max="16383" man="1"/>
    <brk id="4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B6B"/>
  </sheetPr>
  <dimension ref="B1:IT197"/>
  <sheetViews>
    <sheetView topLeftCell="A2" zoomScale="57" zoomScaleNormal="57" workbookViewId="0">
      <selection activeCell="L5" sqref="L5"/>
    </sheetView>
  </sheetViews>
  <sheetFormatPr baseColWidth="10" defaultColWidth="8.7109375" defaultRowHeight="15" x14ac:dyDescent="0.25"/>
  <cols>
    <col min="1" max="1" width="2.5703125" customWidth="1"/>
    <col min="2" max="2" width="27.7109375" style="1" customWidth="1"/>
    <col min="3" max="3" width="30.5703125" style="1" customWidth="1"/>
    <col min="4" max="4" width="46" style="1" customWidth="1"/>
    <col min="5" max="6" width="40.85546875" style="1" customWidth="1"/>
    <col min="7" max="7" width="39.140625" style="1" customWidth="1"/>
    <col min="8" max="9" width="35.7109375" style="120" customWidth="1"/>
    <col min="10" max="10" width="33.85546875" style="120" customWidth="1"/>
    <col min="11" max="12" width="35.7109375" style="120" customWidth="1"/>
    <col min="13" max="13" width="41.140625" style="121" customWidth="1"/>
    <col min="14" max="14" width="8.7109375" style="1"/>
    <col min="15" max="15" width="11.7109375" style="1" customWidth="1"/>
    <col min="16" max="254" width="8.7109375" style="1"/>
    <col min="1021" max="1026" width="11.5703125" customWidth="1"/>
  </cols>
  <sheetData>
    <row r="1" spans="2:13" ht="12.75" hidden="1" customHeight="1" x14ac:dyDescent="0.25">
      <c r="B1" s="2"/>
      <c r="C1" s="2"/>
    </row>
    <row r="2" spans="2:13" ht="11.65" customHeight="1" x14ac:dyDescent="0.25">
      <c r="B2" s="2"/>
      <c r="C2" s="2"/>
    </row>
    <row r="3" spans="2:13" ht="83.1" customHeight="1" thickBot="1" x14ac:dyDescent="0.3">
      <c r="B3" s="2"/>
      <c r="C3" s="2"/>
    </row>
    <row r="4" spans="2:13" ht="75.95" customHeight="1" thickTop="1" thickBot="1" x14ac:dyDescent="0.3">
      <c r="B4" s="291" t="s">
        <v>596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3"/>
    </row>
    <row r="5" spans="2:13" ht="75.75" customHeight="1" thickTop="1" thickBot="1" x14ac:dyDescent="0.3">
      <c r="B5" s="252"/>
      <c r="C5" s="252"/>
      <c r="D5" s="122" t="s">
        <v>365</v>
      </c>
      <c r="E5" s="123" t="s">
        <v>366</v>
      </c>
      <c r="F5" s="123" t="s">
        <v>367</v>
      </c>
      <c r="G5" s="123" t="s">
        <v>368</v>
      </c>
      <c r="H5" s="124" t="s">
        <v>369</v>
      </c>
      <c r="I5" s="124" t="s">
        <v>370</v>
      </c>
      <c r="J5" s="165" t="s">
        <v>541</v>
      </c>
      <c r="K5" s="165" t="s">
        <v>542</v>
      </c>
      <c r="L5" s="165" t="s">
        <v>584</v>
      </c>
      <c r="M5" s="5" t="s">
        <v>14</v>
      </c>
    </row>
    <row r="6" spans="2:13" ht="30" customHeight="1" thickTop="1" thickBot="1" x14ac:dyDescent="0.3">
      <c r="B6" s="253" t="s">
        <v>251</v>
      </c>
      <c r="C6" s="253"/>
      <c r="D6" s="253"/>
      <c r="E6" s="6"/>
      <c r="F6" s="6"/>
      <c r="G6" s="6"/>
      <c r="H6" s="6"/>
      <c r="I6" s="6"/>
      <c r="J6" s="6"/>
      <c r="K6" s="6"/>
      <c r="L6" s="6"/>
      <c r="M6" s="125"/>
    </row>
    <row r="7" spans="2:13" ht="44.85" customHeight="1" thickTop="1" thickBot="1" x14ac:dyDescent="0.3">
      <c r="B7" s="294" t="s">
        <v>371</v>
      </c>
      <c r="C7" s="294"/>
      <c r="D7" s="11">
        <v>7823</v>
      </c>
      <c r="E7" s="11">
        <v>13252</v>
      </c>
      <c r="F7" s="45">
        <v>18643</v>
      </c>
      <c r="G7" s="45">
        <v>14572</v>
      </c>
      <c r="H7" s="105">
        <v>124407</v>
      </c>
      <c r="I7" s="105">
        <v>184495</v>
      </c>
      <c r="J7" s="173">
        <f>'2022'!P7+'2022'!P8</f>
        <v>75121</v>
      </c>
      <c r="K7" s="105">
        <f>'2023'!P7+'2023'!P8</f>
        <v>60410</v>
      </c>
      <c r="L7" s="219">
        <f>'2024'!P7+'2024'!P8</f>
        <v>20237</v>
      </c>
      <c r="M7" s="172">
        <f>SUM(D7:L7)</f>
        <v>518960</v>
      </c>
    </row>
    <row r="8" spans="2:13" ht="44.85" customHeight="1" thickTop="1" thickBot="1" x14ac:dyDescent="0.3">
      <c r="B8" s="295" t="s">
        <v>372</v>
      </c>
      <c r="C8" s="295"/>
      <c r="D8" s="11">
        <v>6330</v>
      </c>
      <c r="E8" s="11">
        <v>11044</v>
      </c>
      <c r="F8" s="11">
        <v>14264</v>
      </c>
      <c r="G8" s="11">
        <v>10644</v>
      </c>
      <c r="H8" s="50">
        <v>80924</v>
      </c>
      <c r="I8" s="171">
        <v>202414</v>
      </c>
      <c r="J8" s="50">
        <f>'2022'!P9+'2022'!P10</f>
        <v>55113</v>
      </c>
      <c r="K8" s="166">
        <f>'2023'!P9+'2023'!P10</f>
        <v>47306</v>
      </c>
      <c r="L8" s="243">
        <f>'2024'!P9+'2024'!P10</f>
        <v>15147</v>
      </c>
      <c r="M8" s="172">
        <f>SUM(D8:L8)</f>
        <v>443186</v>
      </c>
    </row>
    <row r="9" spans="2:13" ht="44.85" customHeight="1" thickTop="1" x14ac:dyDescent="0.25">
      <c r="B9" s="290" t="s">
        <v>373</v>
      </c>
      <c r="C9" s="290"/>
      <c r="D9" s="11">
        <v>32175</v>
      </c>
      <c r="E9" s="11">
        <v>56991</v>
      </c>
      <c r="F9" s="11">
        <v>73083</v>
      </c>
      <c r="G9" s="11">
        <v>64700</v>
      </c>
      <c r="H9" s="50">
        <v>597748</v>
      </c>
      <c r="I9" s="50">
        <v>563118</v>
      </c>
      <c r="J9" s="174">
        <f>'2022'!P11+'2022'!P12</f>
        <v>237006</v>
      </c>
      <c r="K9" s="50">
        <f>'2023'!P11+'2023'!P12</f>
        <v>207239</v>
      </c>
      <c r="L9" s="220">
        <f>'2024'!P11+'2024'!P12</f>
        <v>64651</v>
      </c>
      <c r="M9" s="172">
        <f>SUM(D9:L9)</f>
        <v>1896711</v>
      </c>
    </row>
    <row r="10" spans="2:13" ht="44.85" customHeight="1" x14ac:dyDescent="0.25">
      <c r="B10" s="286" t="s">
        <v>374</v>
      </c>
      <c r="C10" s="286"/>
      <c r="D10" s="16">
        <v>4.1100000000000003</v>
      </c>
      <c r="E10" s="16">
        <v>4.3</v>
      </c>
      <c r="F10" s="17">
        <v>3.92</v>
      </c>
      <c r="G10" s="17">
        <v>4.4400000000000004</v>
      </c>
      <c r="H10" s="126">
        <v>4.83</v>
      </c>
      <c r="I10" s="126">
        <v>5.0999999999999996</v>
      </c>
      <c r="J10" s="126">
        <f>AVERAGE('2022'!P13+'2022'!P14)</f>
        <v>6.1333333333333329</v>
      </c>
      <c r="K10" s="126">
        <f>('2023'!M13+'2023'!M14)/2</f>
        <v>3.7199999999999998</v>
      </c>
      <c r="L10" s="126">
        <f>('2024'!P13+'2024'!P14)/2</f>
        <v>3.94</v>
      </c>
      <c r="M10" s="15">
        <f>AVERAGE(D10:L10)</f>
        <v>4.4992592592592588</v>
      </c>
    </row>
    <row r="11" spans="2:13" ht="44.85" customHeight="1" x14ac:dyDescent="0.25">
      <c r="B11" s="286" t="s">
        <v>375</v>
      </c>
      <c r="C11" s="286"/>
      <c r="D11" s="20">
        <v>1.52777777777778E-3</v>
      </c>
      <c r="E11" s="20">
        <v>1.4583333333333299E-3</v>
      </c>
      <c r="F11" s="20">
        <v>1.58564814814815E-3</v>
      </c>
      <c r="G11" s="20">
        <v>2.0023148148148101E-3</v>
      </c>
      <c r="H11" s="127">
        <v>2.0949074074074099E-3</v>
      </c>
      <c r="I11" s="127">
        <v>2.16435185185185E-3</v>
      </c>
      <c r="J11" s="127">
        <f>AVERAGE('2022'!P15+'2022'!P16)</f>
        <v>3.005401234567902E-3</v>
      </c>
      <c r="K11" s="127">
        <f>('2023'!P15+'2023'!P16)/2</f>
        <v>9.9247685185185203E-4</v>
      </c>
      <c r="L11" s="221">
        <f>('2024'!P15+'2024'!P16)/2</f>
        <v>1.851851851851852E-4</v>
      </c>
      <c r="M11" s="19">
        <f>AVERAGE(D11:L11)</f>
        <v>1.6684885116598077E-3</v>
      </c>
    </row>
    <row r="12" spans="2:13" ht="44.85" customHeight="1" x14ac:dyDescent="0.25">
      <c r="B12" s="290" t="s">
        <v>376</v>
      </c>
      <c r="C12" s="290"/>
      <c r="D12" s="24">
        <v>0.40239999999999998</v>
      </c>
      <c r="E12" s="24">
        <v>0.43</v>
      </c>
      <c r="F12" s="25">
        <v>0.4541</v>
      </c>
      <c r="G12" s="25">
        <v>0.42920000000000003</v>
      </c>
      <c r="H12" s="128">
        <v>0.38279999999999997</v>
      </c>
      <c r="I12" s="128">
        <v>1.2444</v>
      </c>
      <c r="J12" s="128">
        <f>AVERAGE('2022'!M17+'2022'!M18)</f>
        <v>1.06</v>
      </c>
      <c r="K12" s="128">
        <f>AVERAGE('2023'!P17,'2023'!P18)</f>
        <v>0.56267916666666662</v>
      </c>
      <c r="L12" s="128">
        <f>AVERAGE('2024'!P17:P18)</f>
        <v>0.59075000000000011</v>
      </c>
      <c r="M12" s="23">
        <f>AVERAGE(D12:L12)</f>
        <v>0.61736990740740749</v>
      </c>
    </row>
    <row r="13" spans="2:13" ht="44.85" customHeight="1" x14ac:dyDescent="0.25">
      <c r="B13" s="286" t="s">
        <v>377</v>
      </c>
      <c r="C13" s="286"/>
      <c r="D13" s="11">
        <v>6329</v>
      </c>
      <c r="E13" s="11">
        <v>10844</v>
      </c>
      <c r="F13" s="11">
        <v>14093</v>
      </c>
      <c r="G13" s="50">
        <v>4085</v>
      </c>
      <c r="H13" s="50">
        <v>59513</v>
      </c>
      <c r="I13" s="50">
        <v>110965</v>
      </c>
      <c r="J13" s="50">
        <f>'2022'!M19+'2022'!M20</f>
        <v>3102</v>
      </c>
      <c r="K13" s="50">
        <f>'2023'!P19+'2023'!P20</f>
        <v>43283</v>
      </c>
      <c r="L13" s="166">
        <f>'2024'!P19+'2024'!P20</f>
        <v>13840</v>
      </c>
      <c r="M13" s="12">
        <f>SUM(D13:L13)</f>
        <v>266054</v>
      </c>
    </row>
    <row r="14" spans="2:13" ht="44.85" customHeight="1" x14ac:dyDescent="0.25">
      <c r="B14" s="286" t="s">
        <v>378</v>
      </c>
      <c r="C14" s="286"/>
      <c r="D14" s="31">
        <v>41242</v>
      </c>
      <c r="E14" s="31">
        <v>41481</v>
      </c>
      <c r="F14" s="31">
        <v>41968</v>
      </c>
      <c r="G14" s="31">
        <v>42042</v>
      </c>
      <c r="H14" s="32">
        <v>42517</v>
      </c>
      <c r="I14" s="32">
        <v>42765</v>
      </c>
      <c r="J14" s="32">
        <f>'2022'!D23</f>
        <v>43103</v>
      </c>
      <c r="K14" s="32">
        <f>'2023'!P23</f>
        <v>43664</v>
      </c>
      <c r="L14" s="222">
        <f>'2024'!P23</f>
        <v>43894</v>
      </c>
      <c r="M14" s="27">
        <f>H14</f>
        <v>42517</v>
      </c>
    </row>
    <row r="15" spans="2:13" ht="78.599999999999994" customHeight="1" thickBot="1" x14ac:dyDescent="0.3">
      <c r="B15" s="287" t="s">
        <v>379</v>
      </c>
      <c r="C15" s="287"/>
      <c r="D15" s="33">
        <v>176</v>
      </c>
      <c r="E15" s="33">
        <v>115</v>
      </c>
      <c r="F15" s="33">
        <v>138</v>
      </c>
      <c r="G15" s="33">
        <v>86</v>
      </c>
      <c r="H15" s="102">
        <v>9072</v>
      </c>
      <c r="I15" s="102">
        <v>5055</v>
      </c>
      <c r="J15" s="102">
        <f>MAX('2022'!D24:O24)</f>
        <v>268</v>
      </c>
      <c r="K15" s="102">
        <f>'2023'!P24</f>
        <v>164</v>
      </c>
      <c r="L15" s="237">
        <f>'2024'!P24</f>
        <v>718</v>
      </c>
      <c r="M15" s="34">
        <f>MAX(D15:L15)</f>
        <v>9072</v>
      </c>
    </row>
    <row r="16" spans="2:13" ht="62.45" customHeight="1" thickTop="1" thickBot="1" x14ac:dyDescent="0.3">
      <c r="B16" s="288" t="s">
        <v>263</v>
      </c>
      <c r="C16" s="288"/>
      <c r="D16" s="288"/>
      <c r="E16" s="288"/>
      <c r="F16" s="288"/>
      <c r="G16" s="288"/>
      <c r="H16" s="288"/>
      <c r="I16" s="288"/>
      <c r="J16" s="288"/>
      <c r="K16" s="289"/>
      <c r="L16" s="289"/>
      <c r="M16" s="288"/>
    </row>
    <row r="17" spans="2:254" ht="31.35" customHeight="1" thickTop="1" thickBot="1" x14ac:dyDescent="0.3">
      <c r="B17" s="265" t="s">
        <v>35</v>
      </c>
      <c r="C17" s="35" t="s">
        <v>36</v>
      </c>
      <c r="D17" s="37" t="s">
        <v>259</v>
      </c>
      <c r="E17" s="37" t="s">
        <v>259</v>
      </c>
      <c r="F17" s="37" t="s">
        <v>259</v>
      </c>
      <c r="G17" s="37" t="s">
        <v>259</v>
      </c>
      <c r="H17" s="37" t="s">
        <v>38</v>
      </c>
      <c r="I17" s="37" t="s">
        <v>38</v>
      </c>
      <c r="J17" s="176" t="s">
        <v>37</v>
      </c>
      <c r="K17" s="176" t="s">
        <v>562</v>
      </c>
      <c r="L17" s="176" t="str">
        <f>'2024'!P26</f>
        <v>Novetats i noticies/encuento-sobre-el futuro de los datos abiertos</v>
      </c>
      <c r="M17" s="168" t="s">
        <v>38</v>
      </c>
    </row>
    <row r="18" spans="2:254" ht="39" thickTop="1" thickBot="1" x14ac:dyDescent="0.3">
      <c r="B18" s="265"/>
      <c r="C18" s="39" t="s">
        <v>39</v>
      </c>
      <c r="D18" s="40" t="s">
        <v>259</v>
      </c>
      <c r="E18" s="40" t="s">
        <v>259</v>
      </c>
      <c r="F18" s="40" t="s">
        <v>259</v>
      </c>
      <c r="G18" s="40" t="s">
        <v>259</v>
      </c>
      <c r="H18" s="40">
        <v>464618</v>
      </c>
      <c r="I18" s="40">
        <v>186600</v>
      </c>
      <c r="J18" s="40">
        <f>'2022'!P27</f>
        <v>75538</v>
      </c>
      <c r="K18" s="40">
        <f>'2023'!P27</f>
        <v>31656</v>
      </c>
      <c r="L18" s="40">
        <f>'2024'!P27</f>
        <v>1883</v>
      </c>
      <c r="M18" s="169">
        <f>H18+I18+I20+J20</f>
        <v>761266</v>
      </c>
    </row>
    <row r="19" spans="2:254" ht="31.35" customHeight="1" thickTop="1" thickBot="1" x14ac:dyDescent="0.3">
      <c r="B19" s="258" t="s">
        <v>40</v>
      </c>
      <c r="C19" s="35" t="s">
        <v>36</v>
      </c>
      <c r="D19" s="37" t="s">
        <v>260</v>
      </c>
      <c r="E19" s="37" t="s">
        <v>260</v>
      </c>
      <c r="F19" s="37" t="s">
        <v>260</v>
      </c>
      <c r="G19" s="37" t="s">
        <v>260</v>
      </c>
      <c r="H19" s="37" t="s">
        <v>154</v>
      </c>
      <c r="I19" s="176" t="s">
        <v>37</v>
      </c>
      <c r="J19" s="37" t="str">
        <f>'2022'!P28</f>
        <v>Dades COVID-19</v>
      </c>
      <c r="K19" s="37" t="str">
        <f>'2023'!P28</f>
        <v>Temes</v>
      </c>
      <c r="L19" s="210" t="str">
        <f>'2024'!P28</f>
        <v>Temes</v>
      </c>
      <c r="M19" s="168" t="s">
        <v>545</v>
      </c>
    </row>
    <row r="20" spans="2:254" ht="39" thickTop="1" thickBot="1" x14ac:dyDescent="0.3">
      <c r="B20" s="258"/>
      <c r="C20" s="42" t="s">
        <v>42</v>
      </c>
      <c r="D20" s="40" t="s">
        <v>260</v>
      </c>
      <c r="E20" s="40" t="s">
        <v>260</v>
      </c>
      <c r="F20" s="40" t="s">
        <v>260</v>
      </c>
      <c r="G20" s="40" t="s">
        <v>260</v>
      </c>
      <c r="H20" s="40">
        <v>20934</v>
      </c>
      <c r="I20" s="40">
        <v>74163</v>
      </c>
      <c r="J20" s="40">
        <f>'2022'!P29</f>
        <v>35885</v>
      </c>
      <c r="K20" s="40">
        <f>'2023'!P29</f>
        <v>3813</v>
      </c>
      <c r="L20" s="40">
        <f>'2024'!P29</f>
        <v>762</v>
      </c>
      <c r="M20" s="169">
        <f>J18+I20</f>
        <v>149701</v>
      </c>
    </row>
    <row r="21" spans="2:254" ht="31.35" customHeight="1" thickTop="1" x14ac:dyDescent="0.25">
      <c r="B21" s="267" t="s">
        <v>43</v>
      </c>
      <c r="C21" s="39" t="s">
        <v>36</v>
      </c>
      <c r="D21" s="37" t="s">
        <v>260</v>
      </c>
      <c r="E21" s="37" t="s">
        <v>260</v>
      </c>
      <c r="F21" s="37" t="s">
        <v>260</v>
      </c>
      <c r="G21" s="37" t="s">
        <v>260</v>
      </c>
      <c r="H21" s="37" t="s">
        <v>264</v>
      </c>
      <c r="I21" s="37" t="s">
        <v>44</v>
      </c>
      <c r="J21" s="37" t="str">
        <f>'2022'!P30</f>
        <v>Pàgina d’inici del Portal</v>
      </c>
      <c r="K21" s="37" t="s">
        <v>582</v>
      </c>
      <c r="L21" s="210" t="str">
        <f>'2024'!P30</f>
        <v>Visualitzacions covid</v>
      </c>
      <c r="M21" s="168" t="s">
        <v>154</v>
      </c>
    </row>
    <row r="22" spans="2:254" ht="38.25" thickBot="1" x14ac:dyDescent="0.3">
      <c r="B22" s="267"/>
      <c r="C22" s="43" t="s">
        <v>42</v>
      </c>
      <c r="D22" s="40" t="s">
        <v>260</v>
      </c>
      <c r="E22" s="40" t="s">
        <v>260</v>
      </c>
      <c r="F22" s="40" t="s">
        <v>260</v>
      </c>
      <c r="G22" s="40" t="s">
        <v>260</v>
      </c>
      <c r="H22" s="40">
        <v>6533</v>
      </c>
      <c r="I22" s="40">
        <v>10778</v>
      </c>
      <c r="J22" s="40">
        <f>'2022'!P31</f>
        <v>11415</v>
      </c>
      <c r="K22" s="40">
        <f>'2023'!P31</f>
        <v>3030</v>
      </c>
      <c r="L22" s="40">
        <f>'2024'!P31</f>
        <v>558</v>
      </c>
      <c r="M22" s="169">
        <f>H20</f>
        <v>20934</v>
      </c>
    </row>
    <row r="23" spans="2:254" ht="31.35" customHeight="1" thickTop="1" thickBot="1" x14ac:dyDescent="0.3">
      <c r="B23" s="258" t="s">
        <v>45</v>
      </c>
      <c r="C23" s="35" t="s">
        <v>36</v>
      </c>
      <c r="D23" s="37" t="s">
        <v>260</v>
      </c>
      <c r="E23" s="37" t="s">
        <v>260</v>
      </c>
      <c r="F23" s="37" t="s">
        <v>260</v>
      </c>
      <c r="G23" s="37" t="s">
        <v>260</v>
      </c>
      <c r="H23" s="37" t="s">
        <v>157</v>
      </c>
      <c r="I23" s="37" t="s">
        <v>41</v>
      </c>
      <c r="J23" s="37" t="str">
        <f>'2022'!P32</f>
        <v>Visualitzacions COVID-19</v>
      </c>
      <c r="K23" s="37" t="s">
        <v>583</v>
      </c>
      <c r="L23" s="210" t="str">
        <f>'2024'!P32</f>
        <v xml:space="preserve">Novetat i noticies </v>
      </c>
      <c r="M23" s="168" t="str">
        <f>Tabla1[[#Headers],[Dataset]]</f>
        <v>Dataset</v>
      </c>
      <c r="IT23"/>
    </row>
    <row r="24" spans="2:254" ht="39" thickTop="1" thickBot="1" x14ac:dyDescent="0.3">
      <c r="B24" s="258"/>
      <c r="C24" s="42" t="s">
        <v>42</v>
      </c>
      <c r="D24" s="40" t="s">
        <v>260</v>
      </c>
      <c r="E24" s="40" t="s">
        <v>260</v>
      </c>
      <c r="F24" s="40" t="s">
        <v>260</v>
      </c>
      <c r="G24" s="40" t="s">
        <v>260</v>
      </c>
      <c r="H24" s="40">
        <v>4433</v>
      </c>
      <c r="I24" s="40">
        <v>6495</v>
      </c>
      <c r="J24" s="40">
        <f>'2022'!P33</f>
        <v>7512</v>
      </c>
      <c r="K24" s="40">
        <f>'2023'!P33</f>
        <v>1948</v>
      </c>
      <c r="L24" s="40">
        <f>'2024'!P33</f>
        <v>558</v>
      </c>
      <c r="M24" s="169">
        <f>K18</f>
        <v>31656</v>
      </c>
      <c r="IT24"/>
    </row>
    <row r="25" spans="2:254" ht="31.35" customHeight="1" thickTop="1" x14ac:dyDescent="0.25">
      <c r="B25" s="267" t="s">
        <v>48</v>
      </c>
      <c r="C25" s="39" t="s">
        <v>36</v>
      </c>
      <c r="D25" s="37" t="s">
        <v>260</v>
      </c>
      <c r="E25" s="37" t="s">
        <v>260</v>
      </c>
      <c r="F25" s="37" t="s">
        <v>260</v>
      </c>
      <c r="G25" s="37" t="s">
        <v>260</v>
      </c>
      <c r="H25" s="37" t="s">
        <v>265</v>
      </c>
      <c r="I25" s="37" t="s">
        <v>49</v>
      </c>
      <c r="J25" s="37" t="str">
        <f>'2022'!P34</f>
        <v>Temes</v>
      </c>
      <c r="K25" s="37" t="str">
        <f>'2023'!P34</f>
        <v>Novetats i notícies</v>
      </c>
      <c r="L25" s="210" t="str">
        <f>'2024'!P34</f>
        <v>Dataset/ precio del alquiler privado en la Comunitat Valencian</v>
      </c>
      <c r="M25" s="168" t="s">
        <v>44</v>
      </c>
      <c r="IT25"/>
    </row>
    <row r="26" spans="2:254" ht="38.25" thickBot="1" x14ac:dyDescent="0.3">
      <c r="B26" s="267"/>
      <c r="C26" s="43" t="s">
        <v>42</v>
      </c>
      <c r="D26" s="40" t="s">
        <v>260</v>
      </c>
      <c r="E26" s="40" t="s">
        <v>260</v>
      </c>
      <c r="F26" s="40" t="s">
        <v>260</v>
      </c>
      <c r="G26" s="40" t="s">
        <v>260</v>
      </c>
      <c r="H26" s="40">
        <v>2429</v>
      </c>
      <c r="I26" s="40">
        <v>2684</v>
      </c>
      <c r="J26" s="40">
        <f>'2022'!P35</f>
        <v>2840</v>
      </c>
      <c r="K26" s="40">
        <f>'2023'!P35</f>
        <v>1494</v>
      </c>
      <c r="L26" s="40">
        <f>'2024'!P35</f>
        <v>276</v>
      </c>
      <c r="M26" s="169">
        <f>I22+J24+L22</f>
        <v>18848</v>
      </c>
      <c r="IT26"/>
    </row>
    <row r="27" spans="2:254" ht="49.35" customHeight="1" thickTop="1" thickBot="1" x14ac:dyDescent="0.3">
      <c r="B27" s="253" t="s">
        <v>51</v>
      </c>
      <c r="C27" s="253"/>
      <c r="D27" s="253"/>
      <c r="E27" s="6"/>
      <c r="F27" s="6"/>
      <c r="G27" s="6"/>
      <c r="H27" s="6"/>
      <c r="I27" s="6"/>
      <c r="J27" s="170"/>
      <c r="K27" s="170"/>
      <c r="L27" s="170"/>
      <c r="M27" s="125"/>
    </row>
    <row r="28" spans="2:254" ht="54.75" customHeight="1" thickTop="1" thickBot="1" x14ac:dyDescent="0.3">
      <c r="B28" s="269" t="s">
        <v>35</v>
      </c>
      <c r="C28" s="129" t="s">
        <v>380</v>
      </c>
      <c r="D28" s="53" t="s">
        <v>53</v>
      </c>
      <c r="E28" s="53" t="s">
        <v>53</v>
      </c>
      <c r="F28" s="53" t="s">
        <v>53</v>
      </c>
      <c r="G28" s="53" t="s">
        <v>53</v>
      </c>
      <c r="H28" s="55" t="s">
        <v>52</v>
      </c>
      <c r="I28" s="55" t="s">
        <v>52</v>
      </c>
      <c r="J28" s="180" t="s">
        <v>53</v>
      </c>
      <c r="K28" s="189" t="s">
        <v>572</v>
      </c>
      <c r="L28" s="189" t="s">
        <v>572</v>
      </c>
      <c r="M28" s="130" t="s">
        <v>53</v>
      </c>
    </row>
    <row r="29" spans="2:254" ht="39" customHeight="1" thickTop="1" thickBot="1" x14ac:dyDescent="0.3">
      <c r="B29" s="269"/>
      <c r="C29" s="129" t="s">
        <v>381</v>
      </c>
      <c r="D29" s="53">
        <v>1884</v>
      </c>
      <c r="E29" s="53">
        <v>3592</v>
      </c>
      <c r="F29" s="53">
        <v>5683</v>
      </c>
      <c r="G29" s="53">
        <v>4282</v>
      </c>
      <c r="H29" s="131">
        <v>32766</v>
      </c>
      <c r="I29" s="131">
        <v>5656</v>
      </c>
      <c r="J29" s="179">
        <v>4785</v>
      </c>
      <c r="K29" s="190" t="s">
        <v>591</v>
      </c>
      <c r="L29" s="190" t="s">
        <v>606</v>
      </c>
      <c r="M29" s="132">
        <f>D29+E29+F29+G29+H32+I32+L29+Tabla1[[#This Row],[Catàleg de dades]]+Tabla1[[#This Row],[Dataset]]</f>
        <v>65175</v>
      </c>
    </row>
    <row r="30" spans="2:254" ht="40.15" customHeight="1" thickTop="1" thickBot="1" x14ac:dyDescent="0.3">
      <c r="B30" s="269"/>
      <c r="C30" s="133" t="s">
        <v>382</v>
      </c>
      <c r="D30" s="58" t="s">
        <v>383</v>
      </c>
      <c r="E30" s="58" t="s">
        <v>384</v>
      </c>
      <c r="F30" s="58" t="s">
        <v>385</v>
      </c>
      <c r="G30" s="58" t="s">
        <v>386</v>
      </c>
      <c r="H30" s="128">
        <f>H29/$H$7</f>
        <v>0.26337746268296802</v>
      </c>
      <c r="I30" s="128">
        <v>0.20930000000000001</v>
      </c>
      <c r="J30" s="181">
        <v>0.28129999999999999</v>
      </c>
      <c r="K30" s="181">
        <f>K29/(K$29+K$35+K$38+K$32+K$41)</f>
        <v>0.54288359565693123</v>
      </c>
      <c r="L30" s="181">
        <f>L29/(L$29+L$35+L$38+L$32+L$41)</f>
        <v>0.57421087978509067</v>
      </c>
      <c r="M30" s="134">
        <f>M29/(M$29+M$35+M$38+M$32+M$41)</f>
        <v>0.37300833295178792</v>
      </c>
    </row>
    <row r="31" spans="2:254" ht="54.75" customHeight="1" thickTop="1" thickBot="1" x14ac:dyDescent="0.3">
      <c r="B31" s="266" t="s">
        <v>40</v>
      </c>
      <c r="C31" s="135" t="s">
        <v>380</v>
      </c>
      <c r="D31" s="136" t="s">
        <v>54</v>
      </c>
      <c r="E31" s="136" t="s">
        <v>54</v>
      </c>
      <c r="F31" s="136" t="s">
        <v>54</v>
      </c>
      <c r="G31" s="136" t="s">
        <v>54</v>
      </c>
      <c r="H31" s="55" t="s">
        <v>53</v>
      </c>
      <c r="I31" s="55" t="s">
        <v>53</v>
      </c>
      <c r="J31" s="180" t="s">
        <v>52</v>
      </c>
      <c r="K31" s="180" t="s">
        <v>52</v>
      </c>
      <c r="L31" s="223" t="s">
        <v>52</v>
      </c>
      <c r="M31" s="130" t="s">
        <v>52</v>
      </c>
      <c r="O31"/>
    </row>
    <row r="32" spans="2:254" ht="30.95" customHeight="1" thickTop="1" thickBot="1" x14ac:dyDescent="0.3">
      <c r="B32" s="266"/>
      <c r="C32" s="129" t="s">
        <v>381</v>
      </c>
      <c r="D32" s="137">
        <v>1089</v>
      </c>
      <c r="E32" s="137">
        <v>2095</v>
      </c>
      <c r="F32" s="137">
        <v>3827</v>
      </c>
      <c r="G32" s="137">
        <v>3154</v>
      </c>
      <c r="H32" s="131">
        <v>30714</v>
      </c>
      <c r="I32" s="131">
        <v>5220</v>
      </c>
      <c r="J32" s="179">
        <v>4010</v>
      </c>
      <c r="K32" s="190" t="s">
        <v>592</v>
      </c>
      <c r="L32" s="190" t="s">
        <v>607</v>
      </c>
      <c r="M32" s="132">
        <f>D41+E38+F38+G38+H29+I29+L32+Tabla1[[#This Row],[Catàleg de dades]]+Tabla1[[#This Row],[Dataset]]</f>
        <v>49770</v>
      </c>
      <c r="O32"/>
    </row>
    <row r="33" spans="2:16" ht="36.75" customHeight="1" thickTop="1" thickBot="1" x14ac:dyDescent="0.3">
      <c r="B33" s="266"/>
      <c r="C33" s="138" t="s">
        <v>382</v>
      </c>
      <c r="D33" s="58" t="s">
        <v>387</v>
      </c>
      <c r="E33" s="58" t="s">
        <v>388</v>
      </c>
      <c r="F33" s="62" t="s">
        <v>389</v>
      </c>
      <c r="G33" s="58" t="s">
        <v>109</v>
      </c>
      <c r="H33" s="128">
        <f>H32/$H$7</f>
        <v>0.24688321396705973</v>
      </c>
      <c r="I33" s="128">
        <v>0.19320000000000001</v>
      </c>
      <c r="J33" s="181">
        <v>0.23569999999999999</v>
      </c>
      <c r="K33" s="181">
        <f>K32/(K$29+K$35+K$38+K$32+K$41)</f>
        <v>0.2159750862721993</v>
      </c>
      <c r="L33" s="181">
        <f>L32/(L$29+L$35+L$38+L$32+L$41)</f>
        <v>0.19811954331766285</v>
      </c>
      <c r="M33" s="139">
        <f>M32/(M$29+M$35+M$38+M$32+M$41)</f>
        <v>0.28484272698136531</v>
      </c>
      <c r="O33"/>
    </row>
    <row r="34" spans="2:16" ht="63.2" customHeight="1" thickTop="1" x14ac:dyDescent="0.25">
      <c r="B34" s="271" t="s">
        <v>43</v>
      </c>
      <c r="C34" s="133" t="s">
        <v>380</v>
      </c>
      <c r="D34" s="54" t="s">
        <v>390</v>
      </c>
      <c r="E34" s="54" t="s">
        <v>56</v>
      </c>
      <c r="F34" s="54" t="s">
        <v>56</v>
      </c>
      <c r="G34" s="54" t="s">
        <v>56</v>
      </c>
      <c r="H34" s="55" t="s">
        <v>54</v>
      </c>
      <c r="I34" s="55" t="s">
        <v>54</v>
      </c>
      <c r="J34" s="180" t="s">
        <v>54</v>
      </c>
      <c r="K34" s="180" t="s">
        <v>54</v>
      </c>
      <c r="L34" s="223" t="s">
        <v>54</v>
      </c>
      <c r="M34" s="130" t="s">
        <v>54</v>
      </c>
      <c r="O34"/>
    </row>
    <row r="35" spans="2:16" ht="34.35" customHeight="1" x14ac:dyDescent="0.25">
      <c r="B35" s="271"/>
      <c r="C35" s="133" t="s">
        <v>381</v>
      </c>
      <c r="D35" s="137">
        <v>1039</v>
      </c>
      <c r="E35" s="137">
        <v>1861</v>
      </c>
      <c r="F35" s="137">
        <v>1399</v>
      </c>
      <c r="G35" s="137">
        <v>1559</v>
      </c>
      <c r="H35" s="131">
        <v>13998</v>
      </c>
      <c r="I35" s="131">
        <v>3504</v>
      </c>
      <c r="J35" s="179">
        <v>1644</v>
      </c>
      <c r="K35" s="179">
        <v>1344</v>
      </c>
      <c r="L35" s="190" t="s">
        <v>608</v>
      </c>
      <c r="M35" s="132">
        <f>D32+E32+F32+G32+H35+I35+L35+Tabla1[[#This Row],[Catàleg de dades]]-Tabla1[[#This Row],[Dataset]]</f>
        <v>28545</v>
      </c>
      <c r="O35"/>
    </row>
    <row r="36" spans="2:16" ht="35.65" customHeight="1" thickBot="1" x14ac:dyDescent="0.3">
      <c r="B36" s="271"/>
      <c r="C36" s="133" t="s">
        <v>382</v>
      </c>
      <c r="D36" s="63" t="s">
        <v>391</v>
      </c>
      <c r="E36" s="63" t="s">
        <v>392</v>
      </c>
      <c r="F36" s="63" t="s">
        <v>393</v>
      </c>
      <c r="G36" s="58" t="s">
        <v>394</v>
      </c>
      <c r="H36" s="128">
        <f>H35/$H$7</f>
        <v>0.11251778436904676</v>
      </c>
      <c r="I36" s="128">
        <v>0.12970000000000001</v>
      </c>
      <c r="J36" s="181">
        <v>9.6600000000000005E-2</v>
      </c>
      <c r="K36" s="181">
        <f>K35/(K$29+K$35+K$38+K$32+K$41)</f>
        <v>0.11312179109502567</v>
      </c>
      <c r="L36" s="181">
        <f>L35/(L$29+L$35+L$38+L$32+L$41)</f>
        <v>0.12939332885605551</v>
      </c>
      <c r="M36" s="139">
        <f>M35/(M$29+M$35+M$38+M$32+M$41)</f>
        <v>0.16336820658394763</v>
      </c>
      <c r="O36"/>
    </row>
    <row r="37" spans="2:16" ht="44.85" customHeight="1" thickTop="1" thickBot="1" x14ac:dyDescent="0.3">
      <c r="B37" s="266" t="s">
        <v>45</v>
      </c>
      <c r="C37" s="135" t="s">
        <v>380</v>
      </c>
      <c r="D37" s="54" t="s">
        <v>56</v>
      </c>
      <c r="E37" s="54" t="s">
        <v>52</v>
      </c>
      <c r="F37" s="54" t="s">
        <v>52</v>
      </c>
      <c r="G37" s="54" t="s">
        <v>52</v>
      </c>
      <c r="H37" s="55" t="s">
        <v>56</v>
      </c>
      <c r="I37" s="55" t="s">
        <v>56</v>
      </c>
      <c r="J37" s="180" t="s">
        <v>56</v>
      </c>
      <c r="K37" s="180" t="s">
        <v>55</v>
      </c>
      <c r="L37" s="223" t="s">
        <v>55</v>
      </c>
      <c r="M37" s="140" t="s">
        <v>56</v>
      </c>
    </row>
    <row r="38" spans="2:16" ht="44.85" customHeight="1" thickTop="1" thickBot="1" x14ac:dyDescent="0.3">
      <c r="B38" s="266"/>
      <c r="C38" s="129" t="s">
        <v>381</v>
      </c>
      <c r="D38" s="137">
        <v>885</v>
      </c>
      <c r="E38" s="137">
        <v>782</v>
      </c>
      <c r="F38" s="137">
        <v>1160</v>
      </c>
      <c r="G38" s="137">
        <v>1389</v>
      </c>
      <c r="H38" s="131">
        <v>9177</v>
      </c>
      <c r="I38" s="131">
        <v>2995</v>
      </c>
      <c r="J38" s="182">
        <v>1522</v>
      </c>
      <c r="K38" s="182">
        <v>794</v>
      </c>
      <c r="L38" s="190" t="s">
        <v>609</v>
      </c>
      <c r="M38" s="140">
        <f>D38+E35+F35+G35+H38+I38+L41+Tabla1[[#This Row],[Catàleg de dades]]+K41</f>
        <v>20268</v>
      </c>
    </row>
    <row r="39" spans="2:16" ht="44.85" customHeight="1" thickTop="1" thickBot="1" x14ac:dyDescent="0.3">
      <c r="B39" s="266"/>
      <c r="C39" s="138" t="s">
        <v>382</v>
      </c>
      <c r="D39" s="63" t="s">
        <v>395</v>
      </c>
      <c r="E39" s="63" t="s">
        <v>396</v>
      </c>
      <c r="F39" s="63" t="s">
        <v>397</v>
      </c>
      <c r="G39" s="58" t="s">
        <v>398</v>
      </c>
      <c r="H39" s="128">
        <f>H38/$H$7</f>
        <v>7.3765945646145317E-2</v>
      </c>
      <c r="I39" s="128">
        <v>0.1108</v>
      </c>
      <c r="J39" s="240">
        <v>8.9499999999999996E-2</v>
      </c>
      <c r="K39" s="242">
        <f>K38/(K$29+K$35+K$38+K$32+K$41)</f>
        <v>6.6829391465364874E-2</v>
      </c>
      <c r="L39" s="240">
        <f>L38/(L$29+L$35+L$38+L$32+L$41)</f>
        <v>6.6263711663308703E-2</v>
      </c>
      <c r="M39" s="134">
        <f>M38/(M$29+M$35+M$38+M$32+M$41)</f>
        <v>0.11599743601483449</v>
      </c>
      <c r="O39" s="141"/>
    </row>
    <row r="40" spans="2:16" ht="57.4" customHeight="1" thickTop="1" thickBot="1" x14ac:dyDescent="0.3">
      <c r="B40" s="266" t="s">
        <v>48</v>
      </c>
      <c r="C40" s="135" t="s">
        <v>380</v>
      </c>
      <c r="D40" s="54" t="s">
        <v>52</v>
      </c>
      <c r="E40" s="54" t="s">
        <v>399</v>
      </c>
      <c r="F40" s="54" t="s">
        <v>399</v>
      </c>
      <c r="G40" s="54" t="s">
        <v>399</v>
      </c>
      <c r="H40" s="55" t="s">
        <v>399</v>
      </c>
      <c r="I40" s="55" t="s">
        <v>399</v>
      </c>
      <c r="J40" s="241" t="s">
        <v>399</v>
      </c>
      <c r="K40" s="183" t="s">
        <v>56</v>
      </c>
      <c r="L40" s="223" t="s">
        <v>56</v>
      </c>
      <c r="M40" s="130" t="s">
        <v>400</v>
      </c>
    </row>
    <row r="41" spans="2:16" ht="33.4" customHeight="1" thickTop="1" thickBot="1" x14ac:dyDescent="0.3">
      <c r="B41" s="266"/>
      <c r="C41" s="129" t="s">
        <v>381</v>
      </c>
      <c r="D41" s="137">
        <v>556</v>
      </c>
      <c r="E41" s="137">
        <v>499</v>
      </c>
      <c r="F41" s="137">
        <v>834</v>
      </c>
      <c r="G41" s="137">
        <v>409</v>
      </c>
      <c r="H41" s="131">
        <v>5855</v>
      </c>
      <c r="I41" s="131">
        <v>1180</v>
      </c>
      <c r="J41" s="179" t="s">
        <v>556</v>
      </c>
      <c r="K41" s="179">
        <v>727</v>
      </c>
      <c r="L41" s="190" t="s">
        <v>599</v>
      </c>
      <c r="M41" s="132">
        <f>E41+F41+G41+H41+I41+L38+Tabla1[[#This Row],[Catàleg de dades]]+K38</f>
        <v>10970</v>
      </c>
    </row>
    <row r="42" spans="2:16" ht="36.75" customHeight="1" thickTop="1" thickBot="1" x14ac:dyDescent="0.3">
      <c r="B42" s="266"/>
      <c r="C42" s="138" t="s">
        <v>382</v>
      </c>
      <c r="D42" s="63" t="s">
        <v>401</v>
      </c>
      <c r="E42" s="63" t="s">
        <v>402</v>
      </c>
      <c r="F42" s="63" t="s">
        <v>403</v>
      </c>
      <c r="G42" s="63" t="s">
        <v>404</v>
      </c>
      <c r="H42" s="128">
        <f>H41/$H$7</f>
        <v>4.7063268144075493E-2</v>
      </c>
      <c r="I42" s="128">
        <v>4.3700000000000003E-2</v>
      </c>
      <c r="J42" s="181">
        <v>6.4799999999999996E-2</v>
      </c>
      <c r="K42" s="181">
        <f>K41/(K$29+K$35+K$38+K$32+K$41)</f>
        <v>6.1190135510478916E-2</v>
      </c>
      <c r="L42" s="240">
        <f>L41/(L$29+L$35+L$38+L$32+L$41)</f>
        <v>3.2012536377882247E-2</v>
      </c>
      <c r="M42" s="139">
        <f>M41/(M$29+M$35+M$38+M$32+M$41)</f>
        <v>6.2783297468064644E-2</v>
      </c>
    </row>
    <row r="43" spans="2:16" ht="48.4" customHeight="1" thickTop="1" thickBot="1" x14ac:dyDescent="0.3">
      <c r="B43" s="253" t="s">
        <v>405</v>
      </c>
      <c r="C43" s="253"/>
      <c r="D43" s="253"/>
      <c r="E43" s="6"/>
      <c r="F43" s="6"/>
      <c r="G43" s="6"/>
      <c r="H43" s="6"/>
      <c r="I43" s="6"/>
      <c r="J43" s="6"/>
      <c r="K43" s="6"/>
      <c r="L43" s="6"/>
      <c r="M43" s="125"/>
    </row>
    <row r="44" spans="2:16" ht="70.150000000000006" customHeight="1" thickTop="1" thickBot="1" x14ac:dyDescent="0.3">
      <c r="B44" s="269" t="s">
        <v>35</v>
      </c>
      <c r="C44" s="129" t="s">
        <v>406</v>
      </c>
      <c r="D44" s="53" t="s">
        <v>407</v>
      </c>
      <c r="E44" s="53" t="s">
        <v>407</v>
      </c>
      <c r="F44" s="53" t="s">
        <v>407</v>
      </c>
      <c r="G44" s="53" t="s">
        <v>407</v>
      </c>
      <c r="H44" s="67" t="s">
        <v>407</v>
      </c>
      <c r="I44" s="67" t="s">
        <v>407</v>
      </c>
      <c r="J44" s="67" t="s">
        <v>407</v>
      </c>
      <c r="K44" s="67" t="s">
        <v>407</v>
      </c>
      <c r="L44" s="224" t="s">
        <v>407</v>
      </c>
      <c r="M44" s="130" t="s">
        <v>407</v>
      </c>
    </row>
    <row r="45" spans="2:16" ht="40.15" customHeight="1" thickTop="1" thickBot="1" x14ac:dyDescent="0.3">
      <c r="B45" s="269"/>
      <c r="C45" s="129" t="s">
        <v>381</v>
      </c>
      <c r="D45" s="53">
        <v>3862</v>
      </c>
      <c r="E45" s="53">
        <v>7133</v>
      </c>
      <c r="F45" s="53">
        <v>10759</v>
      </c>
      <c r="G45" s="53">
        <v>7933</v>
      </c>
      <c r="H45" s="67">
        <v>84725</v>
      </c>
      <c r="I45" s="67">
        <v>18366</v>
      </c>
      <c r="J45" s="67">
        <v>11748</v>
      </c>
      <c r="K45" s="67">
        <v>10524</v>
      </c>
      <c r="L45" s="224">
        <v>3634</v>
      </c>
      <c r="M45" s="132">
        <f>SUM(D45:L45)</f>
        <v>158684</v>
      </c>
    </row>
    <row r="46" spans="2:16" ht="32.1" customHeight="1" thickTop="1" thickBot="1" x14ac:dyDescent="0.3">
      <c r="B46" s="269"/>
      <c r="C46" s="133" t="s">
        <v>382</v>
      </c>
      <c r="D46" s="58" t="s">
        <v>408</v>
      </c>
      <c r="E46" s="58" t="s">
        <v>409</v>
      </c>
      <c r="F46" s="58" t="s">
        <v>410</v>
      </c>
      <c r="G46" s="58" t="s">
        <v>411</v>
      </c>
      <c r="H46" s="128">
        <f>H45/$H$7</f>
        <v>0.68103081016341527</v>
      </c>
      <c r="I46" s="128">
        <v>0.69979999999999998</v>
      </c>
      <c r="J46" s="128">
        <v>0.73140000000000005</v>
      </c>
      <c r="K46" s="128">
        <f>K45/(K$45+K$48+K$51+K$57+K$57)</f>
        <v>0.76189097227249691</v>
      </c>
      <c r="L46" s="128">
        <f>L45/(L$45+L$48+L$51+L$57+L$57)</f>
        <v>0.63232991125804772</v>
      </c>
      <c r="M46" s="134">
        <f>M45/(M$45+M$48+M$51+M$57+M$57)</f>
        <v>0.68572070592709111</v>
      </c>
    </row>
    <row r="47" spans="2:16" ht="64.150000000000006" customHeight="1" thickTop="1" thickBot="1" x14ac:dyDescent="0.3">
      <c r="B47" s="266" t="s">
        <v>40</v>
      </c>
      <c r="C47" s="135" t="s">
        <v>406</v>
      </c>
      <c r="D47" s="136" t="s">
        <v>412</v>
      </c>
      <c r="E47" s="136" t="s">
        <v>412</v>
      </c>
      <c r="F47" s="136" t="s">
        <v>412</v>
      </c>
      <c r="G47" s="136" t="s">
        <v>412</v>
      </c>
      <c r="H47" s="100" t="s">
        <v>412</v>
      </c>
      <c r="I47" s="100" t="s">
        <v>417</v>
      </c>
      <c r="J47" s="100" t="s">
        <v>417</v>
      </c>
      <c r="K47" s="100" t="s">
        <v>428</v>
      </c>
      <c r="L47" s="239" t="s">
        <v>428</v>
      </c>
      <c r="M47" s="130" t="s">
        <v>412</v>
      </c>
      <c r="O47" s="191"/>
      <c r="P47" s="100"/>
    </row>
    <row r="48" spans="2:16" ht="29.85" customHeight="1" thickTop="1" thickBot="1" x14ac:dyDescent="0.3">
      <c r="B48" s="266"/>
      <c r="C48" s="129" t="s">
        <v>381</v>
      </c>
      <c r="D48" s="137">
        <v>1582</v>
      </c>
      <c r="E48" s="137">
        <v>3107</v>
      </c>
      <c r="F48" s="137">
        <v>3682</v>
      </c>
      <c r="G48" s="137">
        <v>2803</v>
      </c>
      <c r="H48" s="131">
        <v>11236</v>
      </c>
      <c r="I48" s="131">
        <v>3266</v>
      </c>
      <c r="J48" s="131">
        <v>1585</v>
      </c>
      <c r="K48" s="131">
        <v>1840</v>
      </c>
      <c r="L48" s="224">
        <v>1292</v>
      </c>
      <c r="M48" s="132">
        <f>D48+E48+F48+G48+H48+I51+J54+K54+L54</f>
        <v>41833</v>
      </c>
      <c r="P48" s="131"/>
    </row>
    <row r="49" spans="2:254" ht="33.4" customHeight="1" thickTop="1" thickBot="1" x14ac:dyDescent="0.3">
      <c r="B49" s="266"/>
      <c r="C49" s="138" t="s">
        <v>382</v>
      </c>
      <c r="D49" s="58" t="s">
        <v>413</v>
      </c>
      <c r="E49" s="58" t="s">
        <v>414</v>
      </c>
      <c r="F49" s="62" t="s">
        <v>415</v>
      </c>
      <c r="G49" s="58" t="s">
        <v>416</v>
      </c>
      <c r="H49" s="128">
        <f>H48/$H$7</f>
        <v>9.0316461292371003E-2</v>
      </c>
      <c r="I49" s="128">
        <v>0.1244</v>
      </c>
      <c r="J49" s="128">
        <v>9.8699999999999996E-2</v>
      </c>
      <c r="K49" s="128">
        <f>K48/(K$45+K$48+K$51+K$57+K$57)</f>
        <v>0.13320784767972199</v>
      </c>
      <c r="L49" s="238">
        <f>L48/(L$45+L$48+L$51+L$57+L$57)</f>
        <v>0.22481294588480946</v>
      </c>
      <c r="M49" s="139">
        <f>M48/(M$45+M$48+M$51+M$57+M$57)</f>
        <v>0.1807728207698823</v>
      </c>
    </row>
    <row r="50" spans="2:254" ht="61.9" customHeight="1" thickTop="1" x14ac:dyDescent="0.25">
      <c r="B50" s="271" t="s">
        <v>43</v>
      </c>
      <c r="C50" s="133" t="s">
        <v>406</v>
      </c>
      <c r="D50" s="54" t="s">
        <v>417</v>
      </c>
      <c r="E50" s="54" t="s">
        <v>417</v>
      </c>
      <c r="F50" s="54" t="s">
        <v>418</v>
      </c>
      <c r="G50" s="54" t="s">
        <v>419</v>
      </c>
      <c r="H50" s="100" t="s">
        <v>417</v>
      </c>
      <c r="I50" s="100" t="s">
        <v>412</v>
      </c>
      <c r="J50" s="55" t="s">
        <v>428</v>
      </c>
      <c r="K50" s="55" t="s">
        <v>417</v>
      </c>
      <c r="L50" s="100" t="s">
        <v>417</v>
      </c>
      <c r="M50" s="140" t="s">
        <v>417</v>
      </c>
    </row>
    <row r="51" spans="2:254" ht="28.7" customHeight="1" x14ac:dyDescent="0.25">
      <c r="B51" s="271"/>
      <c r="C51" s="133" t="s">
        <v>381</v>
      </c>
      <c r="D51" s="137">
        <v>1326</v>
      </c>
      <c r="E51" s="137">
        <v>1279</v>
      </c>
      <c r="F51" s="137">
        <v>1177</v>
      </c>
      <c r="G51" s="137">
        <v>1380</v>
      </c>
      <c r="H51" s="131">
        <v>7143</v>
      </c>
      <c r="I51" s="131">
        <v>17236</v>
      </c>
      <c r="J51" s="131">
        <v>1179</v>
      </c>
      <c r="K51" s="131">
        <v>1215</v>
      </c>
      <c r="L51" s="131">
        <v>667</v>
      </c>
      <c r="M51" s="140">
        <f>SUM(D51:E51,F54,G54,H51)+I48+J48+K51+L51</f>
        <v>18471</v>
      </c>
      <c r="O51" s="141"/>
    </row>
    <row r="52" spans="2:254" ht="30.95" customHeight="1" thickBot="1" x14ac:dyDescent="0.3">
      <c r="B52" s="271"/>
      <c r="C52" s="133" t="s">
        <v>382</v>
      </c>
      <c r="D52" s="63" t="s">
        <v>420</v>
      </c>
      <c r="E52" s="63" t="s">
        <v>421</v>
      </c>
      <c r="F52" s="63" t="s">
        <v>422</v>
      </c>
      <c r="G52" s="58" t="s">
        <v>287</v>
      </c>
      <c r="H52" s="128">
        <f>H51/$H$7</f>
        <v>5.7416383322481855E-2</v>
      </c>
      <c r="I52" s="128">
        <v>6.5699999999999995E-2</v>
      </c>
      <c r="J52" s="128">
        <v>7.3400000000000007E-2</v>
      </c>
      <c r="K52" s="128">
        <f>K51/(K$45+K$48+K$51+K$57+K$57)</f>
        <v>8.7960616810251219E-2</v>
      </c>
      <c r="L52" s="128">
        <f>L51/(L$45+L$48+L$51+L$57+L$57)</f>
        <v>0.11606055333217331</v>
      </c>
      <c r="M52" s="134">
        <f>M51/(M$45+M$48+M$51+M$57+M$57)</f>
        <v>7.9818678374500893E-2</v>
      </c>
    </row>
    <row r="53" spans="2:254" ht="68.849999999999994" customHeight="1" thickTop="1" thickBot="1" x14ac:dyDescent="0.3">
      <c r="B53" s="266" t="s">
        <v>45</v>
      </c>
      <c r="C53" s="135" t="s">
        <v>406</v>
      </c>
      <c r="D53" s="54" t="s">
        <v>418</v>
      </c>
      <c r="E53" s="54" t="s">
        <v>418</v>
      </c>
      <c r="F53" s="54" t="s">
        <v>417</v>
      </c>
      <c r="G53" s="54" t="s">
        <v>417</v>
      </c>
      <c r="H53" s="55" t="s">
        <v>423</v>
      </c>
      <c r="I53" s="55" t="s">
        <v>428</v>
      </c>
      <c r="J53" s="100" t="s">
        <v>412</v>
      </c>
      <c r="K53" s="100" t="s">
        <v>412</v>
      </c>
      <c r="L53" s="225" t="s">
        <v>412</v>
      </c>
      <c r="M53" s="130" t="s">
        <v>428</v>
      </c>
    </row>
    <row r="54" spans="2:254" ht="30.95" customHeight="1" thickTop="1" thickBot="1" x14ac:dyDescent="0.3">
      <c r="B54" s="266"/>
      <c r="C54" s="129" t="s">
        <v>381</v>
      </c>
      <c r="D54" s="137">
        <v>739</v>
      </c>
      <c r="E54" s="137">
        <v>1150</v>
      </c>
      <c r="F54" s="137">
        <v>1106</v>
      </c>
      <c r="G54" s="137">
        <v>884</v>
      </c>
      <c r="H54" s="131">
        <v>5224</v>
      </c>
      <c r="I54" s="131">
        <v>1667</v>
      </c>
      <c r="J54" s="131">
        <v>1063</v>
      </c>
      <c r="K54" s="131">
        <v>885</v>
      </c>
      <c r="L54" s="226">
        <v>239</v>
      </c>
      <c r="M54" s="132">
        <f>D57+E57+H57+I54+J51+K48+L48</f>
        <v>10759</v>
      </c>
    </row>
    <row r="55" spans="2:254" ht="36.75" customHeight="1" thickTop="1" thickBot="1" x14ac:dyDescent="0.3">
      <c r="B55" s="266"/>
      <c r="C55" s="138" t="s">
        <v>382</v>
      </c>
      <c r="D55" s="63" t="s">
        <v>424</v>
      </c>
      <c r="E55" s="63" t="s">
        <v>425</v>
      </c>
      <c r="F55" s="63" t="s">
        <v>426</v>
      </c>
      <c r="G55" s="58" t="s">
        <v>427</v>
      </c>
      <c r="H55" s="128">
        <f>H54/$H$7</f>
        <v>4.1991206282604679E-2</v>
      </c>
      <c r="I55" s="128">
        <v>6.3500000000000001E-2</v>
      </c>
      <c r="J55" s="128">
        <v>6.6199999999999995E-2</v>
      </c>
      <c r="K55" s="128">
        <f>K54/(K$45+K$48+K$51+K$57+K$57)</f>
        <v>6.4070078911170641E-2</v>
      </c>
      <c r="L55" s="128">
        <f>L54/(L$45+L$48+L$51+L$57+L$57)</f>
        <v>4.158691491212807E-2</v>
      </c>
      <c r="M55" s="139">
        <f>M54/(M$45+M$48+M$51+M$57+M$57)</f>
        <v>4.6492835289440482E-2</v>
      </c>
      <c r="O55" s="142"/>
    </row>
    <row r="56" spans="2:254" ht="99" customHeight="1" thickTop="1" thickBot="1" x14ac:dyDescent="0.3">
      <c r="B56" s="266" t="s">
        <v>48</v>
      </c>
      <c r="C56" s="135" t="s">
        <v>406</v>
      </c>
      <c r="D56" s="54" t="s">
        <v>428</v>
      </c>
      <c r="E56" s="54" t="s">
        <v>428</v>
      </c>
      <c r="F56" s="54" t="s">
        <v>419</v>
      </c>
      <c r="G56" s="54" t="s">
        <v>418</v>
      </c>
      <c r="H56" s="55" t="s">
        <v>428</v>
      </c>
      <c r="I56" s="55" t="s">
        <v>423</v>
      </c>
      <c r="J56" s="55" t="s">
        <v>423</v>
      </c>
      <c r="K56" s="55" t="s">
        <v>423</v>
      </c>
      <c r="L56" s="167" t="s">
        <v>423</v>
      </c>
      <c r="M56" s="130" t="s">
        <v>423</v>
      </c>
      <c r="O56"/>
    </row>
    <row r="57" spans="2:254" ht="35.65" customHeight="1" thickTop="1" thickBot="1" x14ac:dyDescent="0.3">
      <c r="B57" s="266"/>
      <c r="C57" s="129" t="s">
        <v>381</v>
      </c>
      <c r="D57" s="137">
        <v>137</v>
      </c>
      <c r="E57" s="137">
        <v>350</v>
      </c>
      <c r="F57" s="137">
        <v>1093</v>
      </c>
      <c r="G57" s="137">
        <v>758</v>
      </c>
      <c r="H57" s="131">
        <v>4294</v>
      </c>
      <c r="I57" s="131">
        <v>591</v>
      </c>
      <c r="J57" s="131">
        <v>203</v>
      </c>
      <c r="K57" s="131">
        <v>117</v>
      </c>
      <c r="L57" s="226">
        <v>77</v>
      </c>
      <c r="M57" s="132">
        <f>H54+I57+J57+K57+L57</f>
        <v>6212</v>
      </c>
      <c r="O57"/>
    </row>
    <row r="58" spans="2:254" ht="35.65" customHeight="1" thickTop="1" thickBot="1" x14ac:dyDescent="0.3">
      <c r="B58" s="266"/>
      <c r="C58" s="138" t="s">
        <v>382</v>
      </c>
      <c r="D58" s="63" t="s">
        <v>429</v>
      </c>
      <c r="E58" s="63" t="s">
        <v>430</v>
      </c>
      <c r="F58" s="63" t="s">
        <v>431</v>
      </c>
      <c r="G58" s="63" t="s">
        <v>432</v>
      </c>
      <c r="H58" s="128">
        <f>H57/$H$7</f>
        <v>3.4515742683289524E-2</v>
      </c>
      <c r="I58" s="128">
        <v>2.2499999999999999E-2</v>
      </c>
      <c r="J58" s="128">
        <v>1.26E-2</v>
      </c>
      <c r="K58" s="128">
        <f>K57/(K$45+K$48+K$51+K$57+K$57)</f>
        <v>8.4702816187649313E-3</v>
      </c>
      <c r="L58" s="128">
        <f>L57/(L$45+L$48+L$51+L$57+L$57)</f>
        <v>1.3398294762484775E-2</v>
      </c>
      <c r="M58" s="139">
        <f>M57/(M$45+M$48+M$51+M$57+M$57)</f>
        <v>2.6843897464262873E-2</v>
      </c>
      <c r="O58" s="120"/>
    </row>
    <row r="59" spans="2:254" ht="56.25" customHeight="1" thickTop="1" thickBot="1" x14ac:dyDescent="0.3">
      <c r="B59" s="253" t="s">
        <v>433</v>
      </c>
      <c r="C59" s="253"/>
      <c r="D59" s="253"/>
      <c r="E59" s="6"/>
      <c r="F59" s="6"/>
      <c r="G59" s="6"/>
      <c r="H59" s="6"/>
      <c r="I59" s="6"/>
      <c r="J59" s="6"/>
      <c r="K59" s="6"/>
      <c r="L59" s="6"/>
      <c r="M59" s="125"/>
    </row>
    <row r="60" spans="2:254" ht="48.2" customHeight="1" thickTop="1" thickBot="1" x14ac:dyDescent="0.3">
      <c r="B60" s="269" t="s">
        <v>59</v>
      </c>
      <c r="C60" s="135" t="s">
        <v>434</v>
      </c>
      <c r="D60" s="53">
        <v>5052</v>
      </c>
      <c r="E60" s="53">
        <v>9640</v>
      </c>
      <c r="F60" s="54">
        <v>10605</v>
      </c>
      <c r="G60" s="54">
        <v>10487</v>
      </c>
      <c r="H60" s="55">
        <f>'2020'!P34</f>
        <v>52875</v>
      </c>
      <c r="I60" s="55">
        <v>38454</v>
      </c>
      <c r="J60" s="55">
        <f>'2022'!P43</f>
        <v>13080</v>
      </c>
      <c r="K60" s="167">
        <f>'2023'!P43</f>
        <v>12325</v>
      </c>
      <c r="L60" s="244">
        <f>'2024'!P43</f>
        <v>3882</v>
      </c>
      <c r="M60" s="130">
        <f>SUM(D60:L60)</f>
        <v>156400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2:254" ht="37.9" customHeight="1" thickTop="1" thickBot="1" x14ac:dyDescent="0.3">
      <c r="B61" s="269"/>
      <c r="C61" s="133" t="s">
        <v>61</v>
      </c>
      <c r="D61" s="58" t="s">
        <v>435</v>
      </c>
      <c r="E61" s="58" t="s">
        <v>436</v>
      </c>
      <c r="F61" s="58" t="s">
        <v>437</v>
      </c>
      <c r="G61" s="58" t="s">
        <v>438</v>
      </c>
      <c r="H61" s="143" t="str">
        <f>'2020'!O35</f>
        <v>51,91 %</v>
      </c>
      <c r="I61" s="143">
        <v>0.37459999999999999</v>
      </c>
      <c r="J61" s="143">
        <f>'2022'!P44</f>
        <v>0.37338357454825727</v>
      </c>
      <c r="K61" s="143">
        <f>'2023'!P44</f>
        <v>0.64742343856700113</v>
      </c>
      <c r="L61" s="143">
        <f>'2024'!P44</f>
        <v>0.65530047265361246</v>
      </c>
      <c r="M61" s="134">
        <f>M60/(M$60+M$62+M$64+M$66)</f>
        <v>0.45818880659979377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2:254" ht="52.9" customHeight="1" thickTop="1" thickBot="1" x14ac:dyDescent="0.3">
      <c r="B62" s="266" t="s">
        <v>72</v>
      </c>
      <c r="C62" s="135" t="s">
        <v>434</v>
      </c>
      <c r="D62" s="54">
        <v>1382</v>
      </c>
      <c r="E62" s="54">
        <v>3126</v>
      </c>
      <c r="F62" s="107">
        <v>6922</v>
      </c>
      <c r="G62" s="54">
        <v>4042</v>
      </c>
      <c r="H62" s="55">
        <f>'2020'!P36</f>
        <v>8014</v>
      </c>
      <c r="I62" s="55">
        <v>13263</v>
      </c>
      <c r="J62" s="55">
        <f>'2022'!P45</f>
        <v>11698</v>
      </c>
      <c r="K62" s="167">
        <f>'2023'!P45</f>
        <v>6498</v>
      </c>
      <c r="L62" s="244">
        <f>'2024'!P45</f>
        <v>1922</v>
      </c>
      <c r="M62" s="130">
        <f>SUM(D62:L62)</f>
        <v>56867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2:254" ht="43.7" customHeight="1" thickTop="1" thickBot="1" x14ac:dyDescent="0.3">
      <c r="B63" s="266"/>
      <c r="C63" s="138" t="s">
        <v>61</v>
      </c>
      <c r="D63" s="58" t="s">
        <v>439</v>
      </c>
      <c r="E63" s="58" t="s">
        <v>440</v>
      </c>
      <c r="F63" s="62" t="s">
        <v>441</v>
      </c>
      <c r="G63" s="58" t="s">
        <v>442</v>
      </c>
      <c r="H63" s="143">
        <f>'2020'!P37</f>
        <v>6.4418114881918884E-2</v>
      </c>
      <c r="I63" s="143">
        <v>0.12920000000000001</v>
      </c>
      <c r="J63" s="143">
        <f>'2022'!P46</f>
        <v>0.33393280237503925</v>
      </c>
      <c r="K63" s="143">
        <f>'2023'!P46</f>
        <v>0.34133529442664284</v>
      </c>
      <c r="L63" s="143">
        <f>'2024'!P46</f>
        <v>0.32444294395678597</v>
      </c>
      <c r="M63" s="139">
        <f>M62/(M$60+M$62+M$64+M$66)</f>
        <v>0.16659733289584699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2:254" ht="40.15" customHeight="1" thickTop="1" x14ac:dyDescent="0.25">
      <c r="B64" s="271" t="s">
        <v>83</v>
      </c>
      <c r="C64" s="133" t="s">
        <v>434</v>
      </c>
      <c r="D64" s="54">
        <v>747</v>
      </c>
      <c r="E64" s="54">
        <v>478</v>
      </c>
      <c r="F64" s="54">
        <v>1107</v>
      </c>
      <c r="G64" s="54">
        <v>30</v>
      </c>
      <c r="H64" s="55">
        <f>'2020'!P38</f>
        <v>59711</v>
      </c>
      <c r="I64" s="55">
        <v>50115</v>
      </c>
      <c r="J64" s="55">
        <f>'2022'!P47</f>
        <v>10176</v>
      </c>
      <c r="K64" s="167">
        <f>'2023'!P47</f>
        <v>199</v>
      </c>
      <c r="L64" s="244">
        <f>'2024'!P47</f>
        <v>112</v>
      </c>
      <c r="M64" s="140">
        <f>SUM(D64:L64)</f>
        <v>122675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2:254" ht="45.95" customHeight="1" thickBot="1" x14ac:dyDescent="0.3">
      <c r="B65" s="271" t="s">
        <v>84</v>
      </c>
      <c r="C65" s="133" t="s">
        <v>61</v>
      </c>
      <c r="D65" s="63" t="s">
        <v>443</v>
      </c>
      <c r="E65" s="63" t="s">
        <v>444</v>
      </c>
      <c r="F65" s="63" t="s">
        <v>445</v>
      </c>
      <c r="G65" s="58" t="s">
        <v>446</v>
      </c>
      <c r="H65" s="143">
        <f>'2020'!P39</f>
        <v>0.47996881179364337</v>
      </c>
      <c r="I65" s="143">
        <v>0.48820000000000002</v>
      </c>
      <c r="J65" s="143">
        <f>'2022'!P48</f>
        <v>0.29048556992378177</v>
      </c>
      <c r="K65" s="143">
        <f>'2023'!P48</f>
        <v>1.0453327730209593E-2</v>
      </c>
      <c r="L65" s="143">
        <f>'2024'!P48</f>
        <v>1.8906144496961513E-2</v>
      </c>
      <c r="M65" s="134">
        <f>M64/(M$60+M$62+M$64+M$66)</f>
        <v>0.35938818318177557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2:254" ht="45.95" customHeight="1" thickTop="1" thickBot="1" x14ac:dyDescent="0.3">
      <c r="B66" s="266" t="s">
        <v>95</v>
      </c>
      <c r="C66" s="135" t="s">
        <v>434</v>
      </c>
      <c r="D66" s="54">
        <v>639</v>
      </c>
      <c r="E66" s="54">
        <v>8</v>
      </c>
      <c r="F66" s="69" t="s">
        <v>447</v>
      </c>
      <c r="G66" s="54">
        <v>13</v>
      </c>
      <c r="H66" s="55">
        <v>3806</v>
      </c>
      <c r="I66" s="55">
        <v>830</v>
      </c>
      <c r="J66" s="55">
        <f>'2022'!P49</f>
        <v>77</v>
      </c>
      <c r="K66" s="167">
        <f>'2023'!P49</f>
        <v>15</v>
      </c>
      <c r="L66" s="244">
        <f>'2024'!P49</f>
        <v>8</v>
      </c>
      <c r="M66" s="130">
        <f>D66+E66+F66+G66+H66+I66+J66+K66+L66</f>
        <v>5402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2:254" ht="54" customHeight="1" thickTop="1" thickBot="1" x14ac:dyDescent="0.3">
      <c r="B67" s="266"/>
      <c r="C67" s="138" t="s">
        <v>61</v>
      </c>
      <c r="D67" s="63" t="s">
        <v>448</v>
      </c>
      <c r="E67" s="63" t="s">
        <v>449</v>
      </c>
      <c r="F67" s="63" t="s">
        <v>101</v>
      </c>
      <c r="G67" s="58" t="s">
        <v>450</v>
      </c>
      <c r="H67" s="143">
        <f>'2020'!P41</f>
        <v>3.0593379740526984E-2</v>
      </c>
      <c r="I67" s="143">
        <v>8.0999999999999996E-3</v>
      </c>
      <c r="J67" s="143">
        <f>'2022'!P50</f>
        <v>2.198053152921698E-3</v>
      </c>
      <c r="K67" s="143">
        <f>'2023'!P50</f>
        <v>7.879392761464516E-4</v>
      </c>
      <c r="L67" s="143">
        <f>'2024'!P50</f>
        <v>1.3504388926401081E-3</v>
      </c>
      <c r="M67" s="139">
        <f>M66/(M$60+M$62+M$64+M$66)</f>
        <v>1.5825677322583668E-2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2:254" ht="49.9" customHeight="1" thickTop="1" thickBot="1" x14ac:dyDescent="0.3">
      <c r="B68" s="253" t="s">
        <v>451</v>
      </c>
      <c r="C68" s="253"/>
      <c r="D68" s="253"/>
      <c r="E68" s="6"/>
      <c r="F68" s="6"/>
      <c r="G68" s="6"/>
      <c r="H68" s="6"/>
      <c r="I68" s="6"/>
      <c r="J68" s="6"/>
      <c r="K68" s="6"/>
      <c r="L68" s="6"/>
      <c r="M68" s="125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2:254" ht="49.35" customHeight="1" thickTop="1" thickBot="1" x14ac:dyDescent="0.3">
      <c r="B69" s="272" t="s">
        <v>543</v>
      </c>
      <c r="C69" s="135" t="s">
        <v>434</v>
      </c>
      <c r="D69" s="54">
        <v>6236</v>
      </c>
      <c r="E69" s="54">
        <v>11202</v>
      </c>
      <c r="F69" s="54">
        <v>16408</v>
      </c>
      <c r="G69" s="54">
        <v>12662</v>
      </c>
      <c r="H69" s="55">
        <v>57047</v>
      </c>
      <c r="I69" s="55">
        <v>31157</v>
      </c>
      <c r="J69" s="55">
        <f>'2022'!P52</f>
        <v>17915</v>
      </c>
      <c r="K69" s="167">
        <f>'2023'!P52</f>
        <v>13341</v>
      </c>
      <c r="L69" s="244">
        <f>'2024'!P52</f>
        <v>4747</v>
      </c>
      <c r="M69" s="130">
        <f>SUM(D69:L69)</f>
        <v>170715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2:254" ht="36.75" customHeight="1" thickTop="1" thickBot="1" x14ac:dyDescent="0.3">
      <c r="B70" s="272"/>
      <c r="C70" s="133" t="s">
        <v>61</v>
      </c>
      <c r="D70" s="58" t="s">
        <v>452</v>
      </c>
      <c r="E70" s="58" t="s">
        <v>453</v>
      </c>
      <c r="F70" s="58" t="s">
        <v>454</v>
      </c>
      <c r="G70" s="58" t="s">
        <v>455</v>
      </c>
      <c r="H70" s="128">
        <v>0.498</v>
      </c>
      <c r="I70" s="128">
        <v>0.3095</v>
      </c>
      <c r="J70" s="128">
        <f>'2022'!P53</f>
        <v>0.51981778087279484</v>
      </c>
      <c r="K70" s="128">
        <f>'2023'!P53</f>
        <v>0.83826578699340248</v>
      </c>
      <c r="L70" s="128">
        <f>'2024'!P53</f>
        <v>0.79540884718498661</v>
      </c>
      <c r="M70" s="134">
        <f>M69/(M$69+M$71+M$73)</f>
        <v>0.52364476263216497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2:254" ht="35.65" customHeight="1" thickTop="1" thickBot="1" x14ac:dyDescent="0.3">
      <c r="B71" s="273" t="s">
        <v>118</v>
      </c>
      <c r="C71" s="135" t="s">
        <v>434</v>
      </c>
      <c r="D71" s="54">
        <v>1314</v>
      </c>
      <c r="E71" s="54">
        <v>1580</v>
      </c>
      <c r="F71" s="54">
        <v>1758</v>
      </c>
      <c r="G71" s="54">
        <v>1512</v>
      </c>
      <c r="H71" s="55">
        <v>54636</v>
      </c>
      <c r="I71" s="55">
        <v>68608</v>
      </c>
      <c r="J71" s="55">
        <f>'2022'!P54</f>
        <v>16326</v>
      </c>
      <c r="K71" s="167">
        <f>'2023'!P54</f>
        <v>2500</v>
      </c>
      <c r="L71" s="244">
        <f>'2024'!P54</f>
        <v>1158</v>
      </c>
      <c r="M71" s="130">
        <f>SUM(D71:L71)</f>
        <v>149392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2:254" ht="74.650000000000006" customHeight="1" thickTop="1" thickBot="1" x14ac:dyDescent="0.3">
      <c r="B72" s="273"/>
      <c r="C72" s="138" t="s">
        <v>61</v>
      </c>
      <c r="D72" s="63" t="s">
        <v>456</v>
      </c>
      <c r="E72" s="63" t="s">
        <v>457</v>
      </c>
      <c r="F72" s="63" t="s">
        <v>458</v>
      </c>
      <c r="G72" s="58" t="s">
        <v>459</v>
      </c>
      <c r="H72" s="128">
        <v>0.47699999999999998</v>
      </c>
      <c r="I72" s="128">
        <v>0.68159999999999998</v>
      </c>
      <c r="J72" s="128">
        <f>'2022'!P55</f>
        <v>0.47371169916434541</v>
      </c>
      <c r="K72" s="128">
        <f>'2023'!P55</f>
        <v>0.15708451146716934</v>
      </c>
      <c r="L72" s="128">
        <f>'2024'!P55</f>
        <v>0.19403485254691688</v>
      </c>
      <c r="M72" s="139">
        <f>M71/(M$69+M$71+M$73)</f>
        <v>0.45823939536153468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2:254" ht="73.5" customHeight="1" thickTop="1" thickBot="1" x14ac:dyDescent="0.35">
      <c r="B73" s="274" t="s">
        <v>128</v>
      </c>
      <c r="C73" s="133" t="s">
        <v>434</v>
      </c>
      <c r="D73" s="11">
        <v>273</v>
      </c>
      <c r="E73" s="54">
        <v>470</v>
      </c>
      <c r="F73" s="54">
        <v>477</v>
      </c>
      <c r="G73" s="54">
        <v>398</v>
      </c>
      <c r="H73" s="55">
        <v>3033</v>
      </c>
      <c r="I73" s="55">
        <v>895</v>
      </c>
      <c r="J73" s="55">
        <f>'2022'!P56</f>
        <v>223</v>
      </c>
      <c r="K73" s="167">
        <f>'2023'!P56</f>
        <v>74</v>
      </c>
      <c r="L73" s="244">
        <f>'2024'!P56</f>
        <v>63</v>
      </c>
      <c r="M73" s="130">
        <f>SUM(D73:L73)</f>
        <v>5906</v>
      </c>
      <c r="N73"/>
      <c r="O73" s="115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2:254" ht="66.599999999999994" customHeight="1" thickTop="1" thickBot="1" x14ac:dyDescent="0.3">
      <c r="B74" s="274"/>
      <c r="C74" s="138" t="s">
        <v>61</v>
      </c>
      <c r="D74" s="63" t="s">
        <v>460</v>
      </c>
      <c r="E74" s="63" t="s">
        <v>461</v>
      </c>
      <c r="F74" s="63" t="s">
        <v>462</v>
      </c>
      <c r="G74" s="63" t="s">
        <v>463</v>
      </c>
      <c r="H74" s="144">
        <v>2.64E-2</v>
      </c>
      <c r="I74" s="144">
        <v>8.8999999999999999E-3</v>
      </c>
      <c r="J74" s="144">
        <f>'2022'!P57</f>
        <v>6.4705199628597955E-3</v>
      </c>
      <c r="K74" s="144">
        <f>'2023'!P57</f>
        <v>4.6497015394282122E-3</v>
      </c>
      <c r="L74" s="144">
        <f>'2024'!P57</f>
        <v>1.0556300268096515E-2</v>
      </c>
      <c r="M74" s="139">
        <f>M73/(M$69+M$71+M$73)</f>
        <v>1.8115842006300363E-2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2:254" ht="109.15" customHeight="1" thickTop="1" x14ac:dyDescent="0.25">
      <c r="B75"/>
      <c r="C75"/>
      <c r="D75"/>
      <c r="E75"/>
      <c r="F75"/>
      <c r="G75"/>
      <c r="H75" s="142"/>
      <c r="I75" s="142"/>
      <c r="J75" s="142"/>
      <c r="K75" s="142"/>
      <c r="L75" s="142"/>
      <c r="M75" s="14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2:254" ht="19.350000000000001" customHeight="1" x14ac:dyDescent="0.25">
      <c r="B76" s="275" t="s">
        <v>142</v>
      </c>
      <c r="C76" s="275"/>
      <c r="D76"/>
      <c r="E76"/>
      <c r="F76"/>
      <c r="G76"/>
      <c r="H76" s="142"/>
      <c r="I76" s="142"/>
      <c r="J76" s="142"/>
      <c r="K76" s="142"/>
      <c r="L76" s="142"/>
      <c r="M76" s="145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2:254" ht="19.350000000000001" customHeight="1" x14ac:dyDescent="0.25">
      <c r="B77" s="276" t="s">
        <v>142</v>
      </c>
      <c r="C77" s="276"/>
      <c r="D77"/>
      <c r="E77"/>
      <c r="F77"/>
      <c r="G77"/>
      <c r="H77" s="142"/>
      <c r="I77" s="142"/>
      <c r="J77" s="142"/>
      <c r="K77" s="142"/>
      <c r="L77" s="142"/>
      <c r="M77" s="145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254" ht="19.5" customHeight="1" x14ac:dyDescent="0.25">
      <c r="B78" s="109"/>
      <c r="C78" s="72"/>
      <c r="D78"/>
      <c r="E78"/>
      <c r="F78"/>
      <c r="G78"/>
      <c r="H78" s="142"/>
      <c r="I78" s="142"/>
      <c r="J78" s="142"/>
      <c r="K78" s="142"/>
      <c r="L78" s="142"/>
      <c r="M78" s="145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2:254" ht="17.649999999999999" customHeight="1" x14ac:dyDescent="0.25">
      <c r="B79" s="277" t="s">
        <v>143</v>
      </c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2:254" ht="13.15" customHeight="1" x14ac:dyDescent="0.25">
      <c r="B80" s="270" t="s">
        <v>144</v>
      </c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2:254" ht="18.399999999999999" customHeight="1" x14ac:dyDescent="0.25">
      <c r="B81" s="110"/>
      <c r="C81" s="111"/>
      <c r="D81"/>
      <c r="E81"/>
      <c r="F81"/>
      <c r="G81"/>
      <c r="H81" s="142"/>
      <c r="I81" s="142"/>
      <c r="J81" s="142"/>
      <c r="K81" s="142"/>
      <c r="L81" s="142"/>
      <c r="M81" s="145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2:254" ht="16.149999999999999" customHeight="1" x14ac:dyDescent="0.25">
      <c r="B82" s="278" t="s">
        <v>575</v>
      </c>
      <c r="C82" s="278"/>
      <c r="D82" s="278"/>
      <c r="E82" s="278"/>
      <c r="F82" s="278"/>
      <c r="G82" s="278"/>
      <c r="H82" s="142"/>
      <c r="I82" s="142"/>
      <c r="J82" s="142"/>
      <c r="K82" s="142"/>
      <c r="L82" s="142"/>
      <c r="M82" s="145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2:254" ht="13.9" customHeight="1" x14ac:dyDescent="0.25">
      <c r="B83" s="270" t="s">
        <v>576</v>
      </c>
      <c r="C83" s="270"/>
      <c r="D83" s="270"/>
      <c r="E83" s="270"/>
      <c r="F83" s="270"/>
      <c r="G83" s="270"/>
      <c r="H83" s="142"/>
      <c r="I83" s="142"/>
      <c r="J83" s="142"/>
      <c r="K83" s="142"/>
      <c r="L83" s="142"/>
      <c r="M83" s="145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2:254" ht="16.149999999999999" customHeight="1" x14ac:dyDescent="0.25">
      <c r="B84" s="110"/>
      <c r="C84" s="111"/>
      <c r="D84"/>
      <c r="E84"/>
      <c r="F84"/>
      <c r="G84"/>
      <c r="H84" s="142"/>
      <c r="I84" s="142"/>
      <c r="J84" s="142"/>
      <c r="K84" s="142"/>
      <c r="L84" s="142"/>
      <c r="M84" s="145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2:254" ht="19.350000000000001" customHeight="1" x14ac:dyDescent="0.25">
      <c r="B85" s="277" t="s">
        <v>145</v>
      </c>
      <c r="C85" s="277"/>
      <c r="D85" s="277"/>
      <c r="E85" s="277"/>
      <c r="F85"/>
      <c r="G85"/>
      <c r="H85" s="142"/>
      <c r="I85" s="142"/>
      <c r="J85" s="142"/>
      <c r="K85" s="142"/>
      <c r="L85" s="142"/>
      <c r="M85" s="14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2:254" ht="17.649999999999999" customHeight="1" x14ac:dyDescent="0.25">
      <c r="B86" s="270" t="s">
        <v>146</v>
      </c>
      <c r="C86" s="270"/>
      <c r="D86" s="270"/>
      <c r="E86" s="270"/>
      <c r="F86" s="270"/>
      <c r="G86" s="270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2:254" ht="13.15" customHeight="1" x14ac:dyDescent="0.25">
      <c r="B87" s="110"/>
      <c r="C87" s="11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2:254" ht="18.399999999999999" customHeight="1" x14ac:dyDescent="0.25">
      <c r="B88" s="277" t="s">
        <v>578</v>
      </c>
      <c r="C88" s="277"/>
      <c r="D88" s="277"/>
      <c r="E88" s="277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2:254" ht="25.15" customHeight="1" x14ac:dyDescent="0.25">
      <c r="B89" s="280" t="s">
        <v>580</v>
      </c>
      <c r="C89" s="280"/>
      <c r="D89" s="280"/>
      <c r="E89" s="280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2:254" ht="17.25" customHeight="1" x14ac:dyDescent="0.25">
      <c r="B90" s="112"/>
      <c r="C90" s="11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2:254" ht="16.149999999999999" customHeight="1" x14ac:dyDescent="0.25">
      <c r="B91" s="277" t="s">
        <v>147</v>
      </c>
      <c r="C91" s="277"/>
      <c r="D91" s="277"/>
      <c r="E91" s="277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2:254" x14ac:dyDescent="0.25">
      <c r="B92" s="84" t="s">
        <v>148</v>
      </c>
      <c r="C92" s="11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2:254" ht="17.649999999999999" customHeight="1" x14ac:dyDescent="0.3">
      <c r="B93" s="114"/>
      <c r="C93" s="114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2:254" ht="25.15" customHeight="1" x14ac:dyDescent="0.25">
      <c r="B94" s="277" t="s">
        <v>464</v>
      </c>
      <c r="C94" s="277"/>
      <c r="D94" s="277"/>
      <c r="E94" s="27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2:254" ht="18.399999999999999" customHeight="1" x14ac:dyDescent="0.25">
      <c r="B95" s="84" t="s">
        <v>465</v>
      </c>
      <c r="C95" s="84"/>
      <c r="D95" s="209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2:254" ht="18.75" x14ac:dyDescent="0.3">
      <c r="B96" s="115"/>
      <c r="C96" s="114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254" ht="17.25" customHeight="1" x14ac:dyDescent="0.25">
      <c r="B97" s="74" t="s">
        <v>466</v>
      </c>
      <c r="C97" s="117"/>
      <c r="D97" s="209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2:254" ht="15.75" customHeight="1" x14ac:dyDescent="0.25">
      <c r="B98" s="84" t="s">
        <v>467</v>
      </c>
      <c r="C98" s="117"/>
      <c r="D98" s="209"/>
    </row>
    <row r="99" spans="2:254" ht="15.75" customHeight="1" x14ac:dyDescent="0.3">
      <c r="B99" s="114"/>
      <c r="C99" s="114"/>
    </row>
    <row r="100" spans="2:254" ht="15.75" customHeight="1" x14ac:dyDescent="0.25">
      <c r="B100" s="117" t="s">
        <v>468</v>
      </c>
      <c r="C100" s="117"/>
      <c r="D100" s="209"/>
    </row>
    <row r="101" spans="2:254" ht="15.75" customHeight="1" x14ac:dyDescent="0.25">
      <c r="B101" s="84" t="s">
        <v>469</v>
      </c>
      <c r="C101" s="117"/>
      <c r="D101" s="209"/>
    </row>
    <row r="102" spans="2:254" ht="15.75" customHeight="1" x14ac:dyDescent="0.25">
      <c r="B102"/>
    </row>
    <row r="103" spans="2:254" ht="15.75" customHeight="1" x14ac:dyDescent="0.25">
      <c r="B103"/>
    </row>
    <row r="104" spans="2:254" ht="15.75" customHeight="1" x14ac:dyDescent="0.25">
      <c r="B104"/>
    </row>
    <row r="120" spans="2:13" ht="15.75" customHeight="1" x14ac:dyDescent="0.25">
      <c r="B120"/>
      <c r="C120"/>
      <c r="D120"/>
      <c r="E120"/>
      <c r="F120"/>
      <c r="G120"/>
      <c r="H120" s="142"/>
      <c r="I120" s="142"/>
      <c r="J120" s="142"/>
      <c r="K120" s="142"/>
      <c r="L120" s="142"/>
      <c r="M120" s="145"/>
    </row>
    <row r="121" spans="2:13" ht="15.75" customHeight="1" x14ac:dyDescent="0.25">
      <c r="B121"/>
      <c r="C121"/>
      <c r="D121"/>
      <c r="E121"/>
      <c r="F121"/>
      <c r="G121"/>
      <c r="H121" s="142"/>
      <c r="I121" s="142"/>
      <c r="J121" s="142"/>
      <c r="K121" s="142"/>
      <c r="L121" s="142"/>
      <c r="M121" s="145"/>
    </row>
    <row r="122" spans="2:13" ht="15.75" hidden="1" customHeight="1" x14ac:dyDescent="0.25">
      <c r="B122"/>
      <c r="C122"/>
      <c r="D122"/>
      <c r="E122"/>
      <c r="F122"/>
      <c r="G122"/>
      <c r="H122" s="142"/>
      <c r="I122" s="142"/>
      <c r="J122" s="142"/>
      <c r="K122" s="142"/>
      <c r="L122" s="142"/>
      <c r="M122" s="145"/>
    </row>
    <row r="123" spans="2:13" ht="15.75" hidden="1" customHeight="1" x14ac:dyDescent="0.25">
      <c r="B123"/>
      <c r="C123"/>
      <c r="D123"/>
      <c r="E123"/>
      <c r="F123"/>
      <c r="G123"/>
      <c r="H123" s="142"/>
      <c r="I123" s="142"/>
      <c r="J123" s="142"/>
      <c r="K123" s="142"/>
      <c r="L123" s="142"/>
      <c r="M123" s="145"/>
    </row>
    <row r="124" spans="2:13" ht="15.75" hidden="1" customHeight="1" x14ac:dyDescent="0.25">
      <c r="B124"/>
      <c r="C124"/>
      <c r="D124"/>
      <c r="E124"/>
      <c r="F124"/>
      <c r="G124"/>
      <c r="H124" s="142"/>
      <c r="I124" s="142"/>
      <c r="J124" s="142"/>
      <c r="K124" s="142"/>
      <c r="L124" s="142"/>
      <c r="M124" s="145"/>
    </row>
    <row r="125" spans="2:13" ht="15.75" hidden="1" customHeight="1" x14ac:dyDescent="0.25">
      <c r="B125"/>
      <c r="C125"/>
      <c r="D125"/>
      <c r="E125"/>
      <c r="F125"/>
      <c r="G125"/>
      <c r="H125" s="142"/>
      <c r="I125" s="142"/>
      <c r="J125" s="142"/>
      <c r="K125" s="142"/>
      <c r="L125" s="142"/>
      <c r="M125" s="145"/>
    </row>
    <row r="126" spans="2:13" ht="72.400000000000006" customHeight="1" x14ac:dyDescent="0.25">
      <c r="B126"/>
      <c r="C126"/>
      <c r="D126"/>
      <c r="E126"/>
      <c r="F126"/>
      <c r="G126"/>
      <c r="H126" s="142"/>
      <c r="I126" s="142"/>
      <c r="J126" s="142"/>
      <c r="K126" s="142"/>
      <c r="L126" s="142"/>
      <c r="M126" s="145"/>
    </row>
    <row r="127" spans="2:13" ht="15.75" customHeight="1" x14ac:dyDescent="0.25">
      <c r="B127"/>
      <c r="C127"/>
      <c r="D127"/>
      <c r="E127"/>
      <c r="F127"/>
      <c r="G127"/>
      <c r="H127" s="142"/>
      <c r="I127" s="142"/>
      <c r="J127" s="142"/>
      <c r="K127" s="142"/>
      <c r="L127" s="142"/>
      <c r="M127" s="145"/>
    </row>
    <row r="128" spans="2:13" ht="15.75" customHeight="1" x14ac:dyDescent="0.25">
      <c r="B128"/>
      <c r="C128"/>
      <c r="D128"/>
      <c r="E128"/>
      <c r="F128"/>
      <c r="G128"/>
      <c r="H128" s="142"/>
      <c r="I128" s="142"/>
      <c r="J128" s="142"/>
      <c r="K128" s="142"/>
      <c r="L128" s="142"/>
      <c r="M128" s="145"/>
    </row>
    <row r="129" spans="2:13" ht="15.75" hidden="1" customHeight="1" x14ac:dyDescent="0.25">
      <c r="B129"/>
      <c r="C129"/>
      <c r="D129"/>
      <c r="E129"/>
      <c r="F129"/>
      <c r="G129"/>
      <c r="H129" s="142"/>
      <c r="I129" s="142"/>
      <c r="J129" s="142"/>
      <c r="K129" s="142"/>
      <c r="L129" s="142"/>
      <c r="M129" s="145"/>
    </row>
    <row r="130" spans="2:13" ht="15.75" hidden="1" customHeight="1" x14ac:dyDescent="0.25">
      <c r="B130"/>
      <c r="C130"/>
      <c r="D130"/>
      <c r="E130"/>
      <c r="F130"/>
      <c r="G130"/>
      <c r="H130" s="142"/>
      <c r="I130" s="142"/>
      <c r="J130" s="142"/>
      <c r="K130" s="142"/>
      <c r="L130" s="142"/>
      <c r="M130" s="145"/>
    </row>
    <row r="131" spans="2:13" ht="15.75" hidden="1" customHeight="1" x14ac:dyDescent="0.25">
      <c r="B131"/>
      <c r="C131"/>
      <c r="D131"/>
      <c r="E131"/>
      <c r="F131"/>
      <c r="G131"/>
      <c r="H131" s="142"/>
      <c r="I131" s="142"/>
      <c r="J131" s="142"/>
      <c r="K131" s="142"/>
      <c r="L131" s="142"/>
      <c r="M131" s="145"/>
    </row>
    <row r="132" spans="2:13" ht="15.75" customHeight="1" x14ac:dyDescent="0.25">
      <c r="B132"/>
      <c r="C132"/>
      <c r="D132"/>
      <c r="E132"/>
      <c r="F132"/>
      <c r="G132"/>
      <c r="H132" s="142"/>
      <c r="I132" s="142"/>
      <c r="J132" s="142"/>
      <c r="K132" s="142"/>
      <c r="L132" s="142"/>
      <c r="M132" s="145"/>
    </row>
    <row r="133" spans="2:13" ht="15.75" customHeight="1" x14ac:dyDescent="0.25">
      <c r="B133"/>
      <c r="C133"/>
      <c r="D133"/>
      <c r="E133"/>
      <c r="F133"/>
      <c r="G133"/>
      <c r="H133" s="142"/>
      <c r="I133" s="142"/>
      <c r="J133" s="142"/>
      <c r="K133" s="142"/>
      <c r="L133" s="142"/>
      <c r="M133" s="145"/>
    </row>
    <row r="134" spans="2:13" ht="15.75" customHeight="1" x14ac:dyDescent="0.25">
      <c r="B134"/>
      <c r="C134"/>
      <c r="D134"/>
      <c r="E134"/>
      <c r="F134"/>
      <c r="G134"/>
      <c r="H134" s="142"/>
      <c r="I134" s="142"/>
      <c r="J134" s="142"/>
      <c r="K134" s="142"/>
      <c r="L134" s="142"/>
      <c r="M134" s="145"/>
    </row>
    <row r="135" spans="2:13" ht="83.85" customHeight="1" x14ac:dyDescent="0.25">
      <c r="B135"/>
      <c r="C135"/>
      <c r="D135"/>
      <c r="E135"/>
      <c r="F135"/>
      <c r="G135"/>
      <c r="H135" s="142"/>
      <c r="I135" s="142"/>
      <c r="J135" s="142"/>
      <c r="K135" s="142"/>
      <c r="L135" s="142"/>
      <c r="M135" s="145"/>
    </row>
    <row r="149" spans="2:5" ht="15.75" customHeight="1" x14ac:dyDescent="0.25">
      <c r="B149"/>
      <c r="C149"/>
      <c r="D149"/>
      <c r="E149"/>
    </row>
    <row r="150" spans="2:5" ht="15.75" customHeight="1" x14ac:dyDescent="0.25">
      <c r="B150"/>
      <c r="C150"/>
      <c r="D150"/>
      <c r="E150"/>
    </row>
    <row r="151" spans="2:5" ht="15.75" customHeight="1" x14ac:dyDescent="0.25">
      <c r="B151"/>
      <c r="C151"/>
      <c r="D151"/>
      <c r="E151"/>
    </row>
    <row r="152" spans="2:5" ht="15.75" customHeight="1" x14ac:dyDescent="0.25">
      <c r="B152"/>
      <c r="C152"/>
      <c r="D152"/>
      <c r="E152"/>
    </row>
    <row r="153" spans="2:5" ht="15.75" customHeight="1" x14ac:dyDescent="0.25">
      <c r="B153"/>
      <c r="C153"/>
      <c r="D153"/>
      <c r="E153"/>
    </row>
    <row r="154" spans="2:5" ht="15.75" customHeight="1" x14ac:dyDescent="0.25">
      <c r="B154"/>
      <c r="C154"/>
      <c r="D154"/>
      <c r="E154"/>
    </row>
    <row r="155" spans="2:5" ht="15.75" customHeight="1" x14ac:dyDescent="0.25">
      <c r="B155"/>
      <c r="C155"/>
      <c r="D155"/>
      <c r="E155"/>
    </row>
    <row r="156" spans="2:5" ht="15.75" customHeight="1" x14ac:dyDescent="0.25">
      <c r="B156"/>
      <c r="C156"/>
      <c r="D156"/>
      <c r="E156"/>
    </row>
    <row r="179" spans="3:6" ht="15.75" customHeight="1" x14ac:dyDescent="0.25">
      <c r="C179"/>
      <c r="D179"/>
      <c r="E179"/>
      <c r="F179"/>
    </row>
    <row r="180" spans="3:6" ht="15.75" customHeight="1" x14ac:dyDescent="0.25">
      <c r="C180"/>
      <c r="D180"/>
      <c r="E180"/>
      <c r="F180"/>
    </row>
    <row r="181" spans="3:6" ht="15.75" customHeight="1" x14ac:dyDescent="0.25">
      <c r="C181"/>
      <c r="D181"/>
      <c r="E181"/>
      <c r="F181"/>
    </row>
    <row r="182" spans="3:6" ht="15.75" customHeight="1" x14ac:dyDescent="0.25">
      <c r="C182"/>
      <c r="D182"/>
      <c r="E182"/>
      <c r="F182"/>
    </row>
    <row r="183" spans="3:6" ht="15.75" customHeight="1" x14ac:dyDescent="0.25">
      <c r="C183"/>
      <c r="D183"/>
      <c r="E183"/>
      <c r="F183"/>
    </row>
    <row r="184" spans="3:6" ht="15.75" customHeight="1" x14ac:dyDescent="0.25">
      <c r="C184"/>
      <c r="D184"/>
      <c r="E184"/>
      <c r="F184"/>
    </row>
    <row r="185" spans="3:6" ht="15.75" customHeight="1" x14ac:dyDescent="0.25">
      <c r="C185"/>
      <c r="D185"/>
      <c r="E185"/>
      <c r="F185"/>
    </row>
    <row r="186" spans="3:6" ht="15.75" customHeight="1" x14ac:dyDescent="0.25">
      <c r="C186"/>
      <c r="D186"/>
      <c r="E186"/>
      <c r="F186"/>
    </row>
    <row r="190" spans="3:6" ht="15.75" customHeight="1" x14ac:dyDescent="0.25">
      <c r="C190" s="146"/>
      <c r="D190" s="146"/>
      <c r="E190" s="146"/>
      <c r="F190" s="146"/>
    </row>
    <row r="191" spans="3:6" ht="15.75" customHeight="1" x14ac:dyDescent="0.25">
      <c r="C191" s="146"/>
      <c r="D191" s="146"/>
      <c r="E191" s="146"/>
      <c r="F191" s="146"/>
    </row>
    <row r="192" spans="3:6" ht="15.75" customHeight="1" x14ac:dyDescent="0.25">
      <c r="C192" s="146"/>
      <c r="D192" s="146"/>
      <c r="E192" s="146"/>
      <c r="F192" s="146"/>
    </row>
    <row r="193" spans="3:6" ht="15.75" customHeight="1" x14ac:dyDescent="0.25">
      <c r="C193" s="146"/>
      <c r="D193" s="146"/>
      <c r="E193" s="146"/>
      <c r="F193" s="146"/>
    </row>
    <row r="194" spans="3:6" ht="15.75" customHeight="1" x14ac:dyDescent="0.25">
      <c r="C194" s="146"/>
      <c r="D194" s="146"/>
      <c r="E194" s="146"/>
      <c r="F194" s="146"/>
    </row>
    <row r="195" spans="3:6" ht="15.75" customHeight="1" x14ac:dyDescent="0.25">
      <c r="C195" s="146"/>
      <c r="D195" s="146"/>
      <c r="E195" s="146"/>
      <c r="F195" s="146"/>
    </row>
    <row r="196" spans="3:6" ht="15.75" customHeight="1" x14ac:dyDescent="0.25">
      <c r="C196"/>
      <c r="D196" s="146"/>
      <c r="E196" s="146"/>
      <c r="F196" s="146"/>
    </row>
    <row r="197" spans="3:6" ht="15.75" customHeight="1" x14ac:dyDescent="0.25">
      <c r="C197"/>
      <c r="D197" s="146"/>
      <c r="E197" s="146"/>
      <c r="F197" s="146"/>
    </row>
  </sheetData>
  <mergeCells count="51">
    <mergeCell ref="B4:M4"/>
    <mergeCell ref="B5:C5"/>
    <mergeCell ref="B6:D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M16"/>
    <mergeCell ref="B17:B18"/>
    <mergeCell ref="B19:B20"/>
    <mergeCell ref="B21:B22"/>
    <mergeCell ref="B23:B24"/>
    <mergeCell ref="B25:B26"/>
    <mergeCell ref="B27:D27"/>
    <mergeCell ref="B28:B30"/>
    <mergeCell ref="B31:B33"/>
    <mergeCell ref="B34:B36"/>
    <mergeCell ref="B37:B39"/>
    <mergeCell ref="B40:B42"/>
    <mergeCell ref="B43:D43"/>
    <mergeCell ref="B44:B46"/>
    <mergeCell ref="B47:B49"/>
    <mergeCell ref="B50:B52"/>
    <mergeCell ref="B53:B55"/>
    <mergeCell ref="B56:B58"/>
    <mergeCell ref="B59:D59"/>
    <mergeCell ref="B60:B61"/>
    <mergeCell ref="B62:B63"/>
    <mergeCell ref="B64:B65"/>
    <mergeCell ref="B66:B67"/>
    <mergeCell ref="B68:D68"/>
    <mergeCell ref="B69:B70"/>
    <mergeCell ref="B71:B72"/>
    <mergeCell ref="B73:B74"/>
    <mergeCell ref="B76:C76"/>
    <mergeCell ref="B77:C77"/>
    <mergeCell ref="B79:M79"/>
    <mergeCell ref="B80:M80"/>
    <mergeCell ref="B82:G82"/>
    <mergeCell ref="B83:G83"/>
    <mergeCell ref="B94:E94"/>
    <mergeCell ref="B85:E85"/>
    <mergeCell ref="B86:G86"/>
    <mergeCell ref="B88:E88"/>
    <mergeCell ref="B89:E89"/>
    <mergeCell ref="B91:E91"/>
  </mergeCells>
  <phoneticPr fontId="55" type="noConversion"/>
  <printOptions horizontalCentered="1"/>
  <pageMargins left="0.196527777777778" right="0.196527777777778" top="0.39374999999999999" bottom="0.63124999999999998" header="0.511811023622047" footer="0.39374999999999999"/>
  <pageSetup scale="44" orientation="landscape" horizontalDpi="300" verticalDpi="300" r:id="rId1"/>
  <headerFooter>
    <oddFooter>&amp;C&amp;"Arial,Normal"&amp;10&amp;P / &amp;N</oddFooter>
  </headerFooter>
  <rowBreaks count="2" manualBreakCount="2">
    <brk id="26" max="16383" man="1"/>
    <brk id="5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J1048576"/>
  <sheetViews>
    <sheetView zoomScale="69" zoomScaleNormal="69" workbookViewId="0">
      <selection activeCell="G5" sqref="G5"/>
    </sheetView>
  </sheetViews>
  <sheetFormatPr baseColWidth="10" defaultColWidth="8.7109375" defaultRowHeight="18.75" x14ac:dyDescent="0.3"/>
  <cols>
    <col min="1" max="1" width="35.5703125" style="147" customWidth="1"/>
    <col min="2" max="2" width="100" style="114" customWidth="1"/>
    <col min="3" max="3" width="1.7109375" style="114" hidden="1" customWidth="1"/>
    <col min="4" max="64" width="8.7109375" style="114"/>
    <col min="252" max="1024" width="8.7109375" style="115"/>
  </cols>
  <sheetData>
    <row r="1" spans="1:1024" ht="12.75" customHeight="1" x14ac:dyDescent="0.25">
      <c r="A1" s="148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1.65" customHeight="1" x14ac:dyDescent="0.25">
      <c r="A2" s="148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83.1" customHeight="1" x14ac:dyDescent="0.25">
      <c r="A3" s="148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customHeight="1" x14ac:dyDescent="0.3">
      <c r="A4" s="296" t="s">
        <v>470</v>
      </c>
      <c r="B4" s="296"/>
    </row>
    <row r="5" spans="1:1024" ht="78" customHeight="1" x14ac:dyDescent="0.3">
      <c r="A5" s="149" t="s">
        <v>471</v>
      </c>
      <c r="B5" s="150" t="s">
        <v>472</v>
      </c>
    </row>
    <row r="6" spans="1:1024" ht="78" customHeight="1" x14ac:dyDescent="0.3">
      <c r="A6" s="149" t="s">
        <v>473</v>
      </c>
      <c r="B6" s="150" t="s">
        <v>474</v>
      </c>
    </row>
    <row r="7" spans="1:1024" ht="78" customHeight="1" x14ac:dyDescent="0.3">
      <c r="A7" s="149" t="s">
        <v>475</v>
      </c>
      <c r="B7" s="150" t="s">
        <v>476</v>
      </c>
    </row>
    <row r="8" spans="1:1024" ht="78" customHeight="1" x14ac:dyDescent="0.3">
      <c r="A8" s="149" t="s">
        <v>477</v>
      </c>
      <c r="B8" s="150" t="s">
        <v>478</v>
      </c>
    </row>
    <row r="9" spans="1:1024" ht="78" customHeight="1" x14ac:dyDescent="0.3">
      <c r="A9" s="149" t="s">
        <v>479</v>
      </c>
      <c r="B9" s="150" t="s">
        <v>480</v>
      </c>
    </row>
    <row r="10" spans="1:1024" ht="78" customHeight="1" x14ac:dyDescent="0.3">
      <c r="A10" s="149" t="s">
        <v>481</v>
      </c>
      <c r="B10" s="150" t="s">
        <v>482</v>
      </c>
    </row>
    <row r="11" spans="1:1024" ht="78" customHeight="1" x14ac:dyDescent="0.3">
      <c r="A11" s="149" t="s">
        <v>483</v>
      </c>
      <c r="B11" s="150" t="s">
        <v>484</v>
      </c>
    </row>
    <row r="12" spans="1:1024" ht="78" customHeight="1" x14ac:dyDescent="0.3">
      <c r="A12" s="149" t="s">
        <v>485</v>
      </c>
      <c r="B12" s="150" t="s">
        <v>486</v>
      </c>
    </row>
    <row r="13" spans="1:1024" ht="78" customHeight="1" x14ac:dyDescent="0.3">
      <c r="A13" s="149" t="s">
        <v>487</v>
      </c>
      <c r="B13" s="150" t="s">
        <v>488</v>
      </c>
    </row>
    <row r="14" spans="1:1024" ht="78" customHeight="1" x14ac:dyDescent="0.3">
      <c r="A14" s="149" t="s">
        <v>489</v>
      </c>
      <c r="B14" s="150" t="s">
        <v>490</v>
      </c>
    </row>
    <row r="15" spans="1:1024" ht="78" customHeight="1" x14ac:dyDescent="0.3">
      <c r="A15" s="149" t="s">
        <v>491</v>
      </c>
      <c r="B15" s="150" t="s">
        <v>492</v>
      </c>
    </row>
    <row r="16" spans="1:1024" ht="78" customHeight="1" x14ac:dyDescent="0.3">
      <c r="A16" s="149" t="s">
        <v>493</v>
      </c>
      <c r="B16" s="150" t="s">
        <v>494</v>
      </c>
    </row>
    <row r="17" spans="1:2" ht="78" customHeight="1" x14ac:dyDescent="0.3">
      <c r="A17" s="149" t="s">
        <v>495</v>
      </c>
      <c r="B17" s="150" t="s">
        <v>496</v>
      </c>
    </row>
    <row r="18" spans="1:2" ht="78" customHeight="1" x14ac:dyDescent="0.3">
      <c r="A18" s="149" t="s">
        <v>497</v>
      </c>
      <c r="B18" s="150" t="s">
        <v>498</v>
      </c>
    </row>
    <row r="19" spans="1:2" ht="78" customHeight="1" x14ac:dyDescent="0.3">
      <c r="A19" s="149" t="s">
        <v>499</v>
      </c>
      <c r="B19" s="150" t="s">
        <v>500</v>
      </c>
    </row>
    <row r="20" spans="1:2" ht="78" customHeight="1" x14ac:dyDescent="0.3">
      <c r="A20" s="149" t="s">
        <v>501</v>
      </c>
      <c r="B20" s="150" t="s">
        <v>502</v>
      </c>
    </row>
    <row r="1048576" ht="12.75" customHeight="1" x14ac:dyDescent="0.3"/>
  </sheetData>
  <mergeCells count="1">
    <mergeCell ref="A4:B4"/>
  </mergeCells>
  <printOptions horizontalCentered="1"/>
  <pageMargins left="0.78749999999999998" right="0.78749999999999998" top="0.78749999999999998" bottom="1.05277777777778" header="0.511811023622047" footer="0.78749999999999998"/>
  <pageSetup paperSize="9" orientation="portrait" horizontalDpi="300" verticalDpi="300"/>
  <headerFooter>
    <oddFooter>&amp;C&amp;12&amp;P /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J20"/>
  <sheetViews>
    <sheetView zoomScale="71" zoomScaleNormal="71" workbookViewId="0">
      <selection activeCell="O7" sqref="O7"/>
    </sheetView>
  </sheetViews>
  <sheetFormatPr baseColWidth="10" defaultColWidth="8.7109375" defaultRowHeight="18.75" x14ac:dyDescent="0.3"/>
  <cols>
    <col min="1" max="1" width="35.5703125" style="151" customWidth="1"/>
    <col min="2" max="2" width="100" style="114" customWidth="1"/>
    <col min="3" max="3" width="1.7109375" style="114" hidden="1" customWidth="1"/>
    <col min="4" max="64" width="8.7109375" style="114"/>
    <col min="252" max="1024" width="8.7109375" style="115"/>
  </cols>
  <sheetData>
    <row r="1" spans="1:1024" ht="12.75" customHeight="1" x14ac:dyDescent="0.25">
      <c r="A1" s="152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1.65" customHeight="1" x14ac:dyDescent="0.25">
      <c r="A2" s="152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83.1" customHeight="1" x14ac:dyDescent="0.25">
      <c r="A3" s="15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customHeight="1" x14ac:dyDescent="0.3">
      <c r="A4" s="296" t="s">
        <v>503</v>
      </c>
      <c r="B4" s="296"/>
    </row>
    <row r="5" spans="1:1024" ht="78" customHeight="1" x14ac:dyDescent="0.3">
      <c r="A5" s="149" t="s">
        <v>504</v>
      </c>
      <c r="B5" s="150" t="s">
        <v>505</v>
      </c>
    </row>
    <row r="6" spans="1:1024" ht="78" customHeight="1" x14ac:dyDescent="0.3">
      <c r="A6" s="149" t="s">
        <v>506</v>
      </c>
      <c r="B6" s="150" t="s">
        <v>507</v>
      </c>
    </row>
    <row r="7" spans="1:1024" ht="78" customHeight="1" x14ac:dyDescent="0.3">
      <c r="A7" s="149" t="s">
        <v>508</v>
      </c>
      <c r="B7" s="150" t="s">
        <v>509</v>
      </c>
    </row>
    <row r="8" spans="1:1024" ht="78" customHeight="1" x14ac:dyDescent="0.3">
      <c r="A8" s="149" t="s">
        <v>510</v>
      </c>
      <c r="B8" s="150" t="s">
        <v>509</v>
      </c>
    </row>
    <row r="9" spans="1:1024" ht="78" customHeight="1" x14ac:dyDescent="0.3">
      <c r="A9" s="149" t="s">
        <v>511</v>
      </c>
      <c r="B9" s="150" t="s">
        <v>512</v>
      </c>
    </row>
    <row r="10" spans="1:1024" ht="78" customHeight="1" x14ac:dyDescent="0.3">
      <c r="A10" s="149" t="s">
        <v>513</v>
      </c>
      <c r="B10" s="150" t="s">
        <v>514</v>
      </c>
    </row>
    <row r="11" spans="1:1024" ht="78" customHeight="1" x14ac:dyDescent="0.3">
      <c r="A11" s="149" t="s">
        <v>515</v>
      </c>
      <c r="B11" s="150" t="s">
        <v>516</v>
      </c>
    </row>
    <row r="12" spans="1:1024" ht="78" customHeight="1" x14ac:dyDescent="0.3">
      <c r="A12" s="149" t="s">
        <v>517</v>
      </c>
      <c r="B12" s="150" t="s">
        <v>518</v>
      </c>
    </row>
    <row r="13" spans="1:1024" ht="78" customHeight="1" x14ac:dyDescent="0.3">
      <c r="A13" s="149" t="s">
        <v>519</v>
      </c>
      <c r="B13" s="153" t="s">
        <v>520</v>
      </c>
    </row>
    <row r="14" spans="1:1024" ht="78" customHeight="1" x14ac:dyDescent="0.3">
      <c r="A14" s="149" t="s">
        <v>521</v>
      </c>
      <c r="B14" s="150" t="s">
        <v>522</v>
      </c>
    </row>
    <row r="15" spans="1:1024" ht="78" customHeight="1" x14ac:dyDescent="0.3">
      <c r="A15" s="149" t="s">
        <v>523</v>
      </c>
      <c r="B15" s="150" t="s">
        <v>524</v>
      </c>
    </row>
    <row r="16" spans="1:1024" ht="78" customHeight="1" x14ac:dyDescent="0.3">
      <c r="A16" s="149" t="s">
        <v>525</v>
      </c>
      <c r="B16" s="150" t="s">
        <v>526</v>
      </c>
    </row>
    <row r="17" spans="1:2" ht="78" customHeight="1" x14ac:dyDescent="0.3">
      <c r="A17" s="149" t="s">
        <v>527</v>
      </c>
      <c r="B17" s="150" t="s">
        <v>528</v>
      </c>
    </row>
    <row r="18" spans="1:2" ht="78" customHeight="1" x14ac:dyDescent="0.3">
      <c r="A18" s="149" t="s">
        <v>529</v>
      </c>
      <c r="B18" s="150" t="s">
        <v>530</v>
      </c>
    </row>
    <row r="19" spans="1:2" ht="78" customHeight="1" x14ac:dyDescent="0.3">
      <c r="A19" s="149" t="s">
        <v>531</v>
      </c>
      <c r="B19" s="150" t="s">
        <v>532</v>
      </c>
    </row>
    <row r="20" spans="1:2" ht="78" customHeight="1" x14ac:dyDescent="0.3">
      <c r="A20" s="149" t="s">
        <v>533</v>
      </c>
      <c r="B20" s="150" t="s">
        <v>534</v>
      </c>
    </row>
  </sheetData>
  <mergeCells count="1">
    <mergeCell ref="A4:B4"/>
  </mergeCells>
  <printOptions horizontalCentered="1"/>
  <pageMargins left="0.78749999999999998" right="0.78749999999999998" top="0.78749999999999998" bottom="1.05277777777778" header="0.511811023622047" footer="0.78749999999999998"/>
  <pageSetup paperSize="9" orientation="portrait" horizontalDpi="300" verticalDpi="300"/>
  <headerFooter>
    <oddFooter>&amp;C&amp;12&amp;P /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9:Q198"/>
  <sheetViews>
    <sheetView zoomScale="82" zoomScaleNormal="82" workbookViewId="0">
      <selection activeCell="B16" sqref="B16"/>
    </sheetView>
  </sheetViews>
  <sheetFormatPr baseColWidth="10" defaultColWidth="11.5703125" defaultRowHeight="15" x14ac:dyDescent="0.25"/>
  <cols>
    <col min="2" max="2" width="21.140625" customWidth="1"/>
    <col min="3" max="3" width="23.28515625" customWidth="1"/>
    <col min="4" max="4" width="37.5703125" customWidth="1"/>
    <col min="5" max="5" width="30.5703125" customWidth="1"/>
    <col min="6" max="6" width="33" customWidth="1"/>
    <col min="7" max="7" width="30.5703125" customWidth="1"/>
    <col min="8" max="8" width="27.7109375" customWidth="1"/>
    <col min="9" max="9" width="44.85546875" customWidth="1"/>
  </cols>
  <sheetData>
    <row r="9" spans="1:17" ht="26.25" x14ac:dyDescent="0.4">
      <c r="H9" s="154"/>
      <c r="I9" s="154"/>
    </row>
    <row r="10" spans="1:17" ht="26.25" x14ac:dyDescent="0.4">
      <c r="H10" s="154"/>
      <c r="I10" s="154"/>
    </row>
    <row r="11" spans="1:17" ht="72.599999999999994" customHeight="1" x14ac:dyDescent="0.25">
      <c r="A11" s="297" t="s">
        <v>535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26.25" x14ac:dyDescent="0.4">
      <c r="H12" s="154"/>
      <c r="I12" s="154"/>
    </row>
    <row r="13" spans="1:17" ht="26.25" x14ac:dyDescent="0.4">
      <c r="H13" s="154"/>
      <c r="I13" s="154"/>
    </row>
    <row r="14" spans="1:17" ht="26.25" x14ac:dyDescent="0.4">
      <c r="H14" s="154"/>
      <c r="I14" s="154"/>
    </row>
    <row r="15" spans="1:17" ht="26.25" x14ac:dyDescent="0.4">
      <c r="H15" s="154"/>
      <c r="I15" s="154"/>
    </row>
    <row r="16" spans="1:17" ht="26.25" x14ac:dyDescent="0.4">
      <c r="H16" s="154"/>
      <c r="I16" s="154"/>
    </row>
    <row r="80" spans="1:2" ht="17.25" x14ac:dyDescent="0.3">
      <c r="A80" s="155"/>
      <c r="B80" s="155"/>
    </row>
    <row r="81" spans="2:2" x14ac:dyDescent="0.25">
      <c r="B81" s="74"/>
    </row>
    <row r="88" spans="2:2" s="142" customFormat="1" x14ac:dyDescent="0.25"/>
    <row r="120" spans="2:2" ht="17.25" x14ac:dyDescent="0.3">
      <c r="B120" s="155"/>
    </row>
    <row r="121" spans="2:2" x14ac:dyDescent="0.25">
      <c r="B121" s="74"/>
    </row>
    <row r="135" spans="2:2" ht="17.25" x14ac:dyDescent="0.3">
      <c r="B135" s="155"/>
    </row>
    <row r="136" spans="2:2" x14ac:dyDescent="0.25">
      <c r="B136" s="156"/>
    </row>
    <row r="141" spans="2:2" ht="31.9" hidden="1" customHeight="1" x14ac:dyDescent="0.25"/>
    <row r="142" spans="2:2" ht="53.65" customHeight="1" x14ac:dyDescent="0.25"/>
    <row r="143" spans="2:2" ht="33.75" customHeight="1" x14ac:dyDescent="0.25"/>
    <row r="144" spans="2:2" ht="31.9" customHeight="1" x14ac:dyDescent="0.25"/>
    <row r="145" spans="2:5" ht="37.9" customHeight="1" x14ac:dyDescent="0.25"/>
    <row r="146" spans="2:5" ht="32.85" customHeight="1" x14ac:dyDescent="0.25"/>
    <row r="147" spans="2:5" ht="18.75" x14ac:dyDescent="0.25">
      <c r="B147" s="298"/>
      <c r="C147" s="298"/>
      <c r="D147" s="298"/>
      <c r="E147" s="298"/>
    </row>
    <row r="148" spans="2:5" ht="18.75" x14ac:dyDescent="0.3">
      <c r="B148" s="113"/>
      <c r="C148" s="114"/>
      <c r="D148" s="1"/>
      <c r="E148" s="1"/>
    </row>
    <row r="149" spans="2:5" ht="18.75" x14ac:dyDescent="0.3">
      <c r="B149" s="114"/>
      <c r="C149" s="114"/>
      <c r="D149" s="1"/>
      <c r="E149" s="1"/>
    </row>
    <row r="191" spans="3:6" ht="16.899999999999999" customHeight="1" x14ac:dyDescent="0.25">
      <c r="C191" s="299" t="s">
        <v>464</v>
      </c>
      <c r="D191" s="299"/>
      <c r="E191" s="299"/>
      <c r="F191" s="299"/>
    </row>
    <row r="192" spans="3:6" ht="15.75" x14ac:dyDescent="0.25">
      <c r="C192" s="157" t="s">
        <v>465</v>
      </c>
      <c r="D192" s="157"/>
      <c r="E192" s="146"/>
      <c r="F192" s="146"/>
    </row>
    <row r="193" spans="3:6" ht="15.75" x14ac:dyDescent="0.25">
      <c r="C193" s="158"/>
      <c r="D193" s="158"/>
      <c r="E193" s="158"/>
      <c r="F193" s="158"/>
    </row>
    <row r="194" spans="3:6" ht="15.75" x14ac:dyDescent="0.25">
      <c r="C194" s="158"/>
      <c r="D194" s="158"/>
      <c r="E194" s="158"/>
      <c r="F194" s="158"/>
    </row>
    <row r="195" spans="3:6" ht="15.75" x14ac:dyDescent="0.25">
      <c r="C195" s="146" t="s">
        <v>468</v>
      </c>
      <c r="D195" s="158"/>
      <c r="E195" s="158"/>
      <c r="F195" s="158"/>
    </row>
    <row r="196" spans="3:6" ht="15.75" x14ac:dyDescent="0.25">
      <c r="C196" s="146" t="s">
        <v>469</v>
      </c>
      <c r="D196" s="158"/>
      <c r="E196" s="158"/>
      <c r="F196" s="158"/>
    </row>
    <row r="197" spans="3:6" ht="15.75" x14ac:dyDescent="0.25">
      <c r="D197" s="158"/>
      <c r="E197" s="158"/>
      <c r="F197" s="158"/>
    </row>
    <row r="198" spans="3:6" ht="15.75" x14ac:dyDescent="0.25">
      <c r="D198" s="158"/>
      <c r="E198" s="158"/>
      <c r="F198" s="158"/>
    </row>
  </sheetData>
  <mergeCells count="3">
    <mergeCell ref="A11:Q11"/>
    <mergeCell ref="B147:E147"/>
    <mergeCell ref="C191:F191"/>
  </mergeCells>
  <printOptions horizontalCentered="1"/>
  <pageMargins left="8.8888888888888906E-2" right="0.39374999999999999" top="0.49236111111111103" bottom="0.65902777777777799" header="0.39374999999999999" footer="0.39374999999999999"/>
  <pageSetup paperSize="9" orientation="portrait" horizontalDpi="300" verticalDpi="300"/>
  <headerFooter>
    <oddFooter>&amp;C&amp;12&amp;Kffffff&amp;P /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c D A A B Q S w M E F A A C A A g A t H V S V 0 y t U A K l A A A A 9 w A A A B I A H A B D b 2 5 m a W c v U G F j a 2 F n Z S 5 4 b W w g o h g A K K A U A A A A A A A A A A A A A A A A A A A A A A A A A A A A h Y + 9 D o I w G E V f h X S n f z g Y 8 l E G 4 y a J C Y l x b U r F R i i G F s u 7 O f h I v o I Y R d 0 c 7 7 l n u P d + v U E + t k 1 0 0 b 0 z n c 0 Q w x R F 2 q q u M r b O 0 O A P 8 R L l A r Z S n W S t o 0 m 2 L h 1 d l a G j 9 + e U k B A C D g n u + p p w S h n Z F 5 t S H X U r 0 U c 2 / + X Y W O e l V R o J 2 L 3 G C I 4 Z W 2 D O e Y I p k J l C Y e z X 4 N P g Z / s D Y T U 0 f u i 1 0 C 5 e l 0 D m C O R 9 Q j w A U E s D B B Q A A g A I A L R 1 U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d V J X n J A S 5 K A A A A D Z A A A A E w A c A E Z v c m 1 1 b G F z L 1 N l Y 3 R p b 2 4 x L m 0 g o h g A K K A U A A A A A A A A A A A A A A A A A A A A A A A A A A A A b Y 0 9 C 4 M w E I b 3 Q P 7 D k S 4 W R H A W J + n a D h U 6 i E P U a x t M c p J E s I j / v S l Z e 8 s L 7 8 d z H s e g y M I 9 a V l x x p l / S 4 c T t H L Q s o Q a N A b O I N 7 N q R f a 6 F y 2 E X X R r M 6 h D Q 9 y 8 0 A 0 Z + e 9 u 0 q D t U h L 0 R 9 d Q z b E S p 8 n w E m 0 a i E Y p R m U n E h E 1 K + L R e u k 9 U 9 y p i G 9 G t t + F v R Z e p f v u 0 h u R O Y Q Y g Q B t 3 A c Z 8 6 U / Q + u v l B L A Q I t A B Q A A g A I A L R 1 U l d M r V A C p Q A A A P c A A A A S A A A A A A A A A A A A A A A A A A A A A A B D b 2 5 m a W c v U G F j a 2 F n Z S 5 4 b W x Q S w E C L Q A U A A I A C A C 0 d V J X D 8 r p q 6 Q A A A D p A A A A E w A A A A A A A A A A A A A A A A D x A A A A W 0 N v b n R l b n R f V H l w Z X N d L n h t b F B L A Q I t A B Q A A g A I A L R 1 U l e c k B L k o A A A A N k A A A A T A A A A A A A A A A A A A A A A A O I B A A B G b 3 J t d W x h c y 9 T Z W N 0 a W 9 u M S 5 t U E s F B g A A A A A D A A M A w g A A A M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k H A A A A A A A A p w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E 4 V D E y O j Q 1 O j I x L j A 4 O T A 4 O T B a I i A v P j x F b n R y e S B U e X B l P S J G a W x s Q 2 9 s d W 1 u V H l w Z X M i I F Z h b H V l P S J z Q m c 9 P S I g L z 4 8 R W 5 0 c n k g V H l w Z T 0 i R m l s b E N v b H V t b k 5 h b W V z I i B W Y W x 1 Z T 0 i c 1 s m c X V v d D t D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B d X R v U m V t b 3 Z l Z E N v b H V t b n M x L n t D b 2 x 1 b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E v Q X V 0 b 1 J l b W 9 2 Z W R D b 2 x 1 b W 5 z M S 5 7 Q 2 9 s d W 1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g Z y Y 0 c w e 9 B r R / b I i 7 F 9 U U A A A A A A g A A A A A A A 2 Y A A M A A A A A Q A A A A r o 2 T B X m J i e d l z d F 2 S W V / d Q A A A A A E g A A A o A A A A B A A A A B z n D z G h i g Y h N J 2 Y 3 A 5 P 2 B n U A A A A J L P C D x X r B / Z V Q q V t E B k a Y s J S Y B T v D a r i I a F 8 q a 8 l m O u 0 1 e q q F v B c A w c 1 s O z d H k P 3 Z o T x B 5 U C k D / N C Y y Y J n L w K x 3 x + 7 6 Q a Q i 9 z W 4 4 s F X k u w 8 F A A A A E E X z h E x 5 X w / f v l I b U N p e z 4 4 f z V X < / D a t a M a s h u p > 
</file>

<file path=customXml/itemProps1.xml><?xml version="1.0" encoding="utf-8"?>
<ds:datastoreItem xmlns:ds="http://schemas.openxmlformats.org/officeDocument/2006/customXml" ds:itemID="{D0A975AD-2A6B-4393-8EC9-220A30672C3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2024</vt:lpstr>
      <vt:lpstr>2023</vt:lpstr>
      <vt:lpstr>2022</vt:lpstr>
      <vt:lpstr>2021</vt:lpstr>
      <vt:lpstr>2020</vt:lpstr>
      <vt:lpstr>2024-2016</vt:lpstr>
      <vt:lpstr>Glossari</vt:lpstr>
      <vt:lpstr>Glosario</vt:lpstr>
      <vt:lpstr>Gràfiques_Gráficos</vt:lpstr>
      <vt:lpstr>Gràfiques_Gráficos2</vt:lpstr>
      <vt:lpstr>Hoja8</vt:lpstr>
      <vt:lpstr>'2020'!Área_de_impresión</vt:lpstr>
      <vt:lpstr>'2021'!Área_de_impresión</vt:lpstr>
      <vt:lpstr>'2022'!Área_de_impresión</vt:lpstr>
      <vt:lpstr>'2024-2016'!Área_de_impresión</vt:lpstr>
      <vt:lpstr>Glosario!Área_de_impresión</vt:lpstr>
      <vt:lpstr>Glossari!Área_de_impresión</vt:lpstr>
      <vt:lpstr>'2020'!Títulos_a_imprimir</vt:lpstr>
      <vt:lpstr>'2021'!Títulos_a_imprimir</vt:lpstr>
      <vt:lpstr>'2022'!Títulos_a_imprimir</vt:lpstr>
      <vt:lpstr>'2024-2016'!Títulos_a_imprimir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MARÍN GONZÁLEZ, CAROLINA</dc:creator>
  <dc:description/>
  <cp:lastModifiedBy>VAREA AGUILELLA, ANNA</cp:lastModifiedBy>
  <cp:revision>1</cp:revision>
  <dcterms:created xsi:type="dcterms:W3CDTF">2021-06-09T08:22:58Z</dcterms:created>
  <dcterms:modified xsi:type="dcterms:W3CDTF">2024-04-02T11:27:29Z</dcterms:modified>
  <dc:language>es-ES</dc:language>
</cp:coreProperties>
</file>